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utinaaa\Desktop\ЗСНХ 2026\"/>
    </mc:Choice>
  </mc:AlternateContent>
  <xr:revisionPtr revIDLastSave="0" documentId="13_ncr:1_{6C88E4AD-6315-4959-9782-B5712316C2F0}" xr6:coauthVersionLast="47" xr6:coauthVersionMax="47" xr10:uidLastSave="{00000000-0000-0000-0000-000000000000}"/>
  <bookViews>
    <workbookView xWindow="90" yWindow="16335" windowWidth="22515" windowHeight="12075" tabRatio="982" activeTab="6" xr2:uid="{E9CE74A8-B141-4BFB-BC60-B3AD742CBF38}"/>
  </bookViews>
  <sheets>
    <sheet name="Исходные данные&gt;&gt;" sheetId="19" r:id="rId1"/>
    <sheet name="Исходные данные" sheetId="22" r:id="rId2"/>
    <sheet name="Коэффициенты&gt;&gt;" sheetId="20" r:id="rId3"/>
    <sheet name="Абгаз_состав" sheetId="26" r:id="rId4"/>
    <sheet name="ПГ_состав" sheetId="30" r:id="rId5"/>
    <sheet name="Расчетные модели&gt;&gt;" sheetId="21" r:id="rId6"/>
    <sheet name="Расчетная модель" sheetId="29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1" i="29" l="1"/>
  <c r="Q20" i="29"/>
  <c r="Q19" i="29"/>
  <c r="R5" i="26"/>
  <c r="H8" i="29"/>
  <c r="G8" i="29"/>
  <c r="T7" i="30" l="1"/>
  <c r="T8" i="30"/>
  <c r="V7" i="30"/>
  <c r="V5" i="30"/>
  <c r="V43" i="30" l="1"/>
  <c r="O32" i="22" l="1"/>
  <c r="R32" i="22" s="1"/>
  <c r="T38" i="22"/>
  <c r="Q33" i="22"/>
  <c r="R33" i="22" s="1"/>
  <c r="T33" i="22" s="1"/>
  <c r="Q32" i="22"/>
  <c r="R30" i="22"/>
  <c r="S30" i="22" s="1"/>
  <c r="G19" i="29"/>
  <c r="Q41" i="22"/>
  <c r="R41" i="22" s="1"/>
  <c r="T41" i="22" s="1"/>
  <c r="Q34" i="22"/>
  <c r="Q35" i="22"/>
  <c r="R35" i="22" s="1"/>
  <c r="T35" i="22" s="1"/>
  <c r="Q36" i="22"/>
  <c r="Q37" i="22"/>
  <c r="Q38" i="22"/>
  <c r="Q39" i="22"/>
  <c r="R39" i="22" s="1"/>
  <c r="Q40" i="22"/>
  <c r="P38" i="22"/>
  <c r="P39" i="22"/>
  <c r="P40" i="22"/>
  <c r="P41" i="22"/>
  <c r="P37" i="22"/>
  <c r="P33" i="22"/>
  <c r="P34" i="22"/>
  <c r="P42" i="22" s="1"/>
  <c r="P35" i="22"/>
  <c r="P36" i="22"/>
  <c r="P32" i="22"/>
  <c r="O38" i="22"/>
  <c r="O39" i="22"/>
  <c r="O40" i="22"/>
  <c r="O41" i="22"/>
  <c r="O37" i="22"/>
  <c r="R37" i="22" s="1"/>
  <c r="T37" i="22" s="1"/>
  <c r="O33" i="22"/>
  <c r="O34" i="22"/>
  <c r="O35" i="22"/>
  <c r="O36" i="22"/>
  <c r="R36" i="22" s="1"/>
  <c r="R31" i="22"/>
  <c r="S31" i="22" s="1"/>
  <c r="N31" i="22"/>
  <c r="T31" i="22" s="1"/>
  <c r="N32" i="22"/>
  <c r="N33" i="22"/>
  <c r="N42" i="22" s="1"/>
  <c r="N34" i="22"/>
  <c r="N35" i="22"/>
  <c r="N36" i="22"/>
  <c r="N37" i="22"/>
  <c r="N38" i="22"/>
  <c r="N39" i="22"/>
  <c r="N40" i="22"/>
  <c r="N41" i="22"/>
  <c r="N30" i="22"/>
  <c r="D42" i="22"/>
  <c r="C7" i="22" s="1"/>
  <c r="E42" i="22"/>
  <c r="C8" i="22" s="1"/>
  <c r="C9" i="22" s="1"/>
  <c r="G42" i="22"/>
  <c r="D6" i="22" s="1"/>
  <c r="D9" i="22" s="1"/>
  <c r="D19" i="29" s="1"/>
  <c r="H42" i="22"/>
  <c r="D7" i="22" s="1"/>
  <c r="I42" i="22"/>
  <c r="D8" i="22" s="1"/>
  <c r="K42" i="22"/>
  <c r="E6" i="22" s="1"/>
  <c r="E9" i="22" s="1"/>
  <c r="L42" i="22"/>
  <c r="E7" i="22" s="1"/>
  <c r="M42" i="22"/>
  <c r="E8" i="22" s="1"/>
  <c r="C42" i="22"/>
  <c r="C6" i="22" s="1"/>
  <c r="J31" i="22"/>
  <c r="J32" i="22"/>
  <c r="J33" i="22"/>
  <c r="J34" i="22"/>
  <c r="J35" i="22"/>
  <c r="J36" i="22"/>
  <c r="J37" i="22"/>
  <c r="J38" i="22"/>
  <c r="J39" i="22"/>
  <c r="J40" i="22"/>
  <c r="J41" i="22"/>
  <c r="J30" i="22"/>
  <c r="F41" i="22"/>
  <c r="F40" i="22"/>
  <c r="F39" i="22"/>
  <c r="F38" i="22"/>
  <c r="F37" i="22"/>
  <c r="F31" i="22"/>
  <c r="F32" i="22"/>
  <c r="F33" i="22"/>
  <c r="F34" i="22"/>
  <c r="F35" i="22"/>
  <c r="F36" i="22"/>
  <c r="F30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D24" i="22"/>
  <c r="D23" i="22"/>
  <c r="D22" i="22"/>
  <c r="D21" i="22"/>
  <c r="D20" i="22"/>
  <c r="D19" i="22"/>
  <c r="D18" i="22"/>
  <c r="D17" i="22"/>
  <c r="D16" i="22"/>
  <c r="F16" i="22" s="1"/>
  <c r="D15" i="22"/>
  <c r="F15" i="22"/>
  <c r="D14" i="22"/>
  <c r="D13" i="22"/>
  <c r="C24" i="22"/>
  <c r="F24" i="22" s="1"/>
  <c r="C23" i="22"/>
  <c r="F23" i="22" s="1"/>
  <c r="C22" i="22"/>
  <c r="C21" i="22"/>
  <c r="C20" i="22"/>
  <c r="F20" i="22" s="1"/>
  <c r="G5" i="29" s="1"/>
  <c r="R38" i="22"/>
  <c r="F18" i="22"/>
  <c r="S33" i="22"/>
  <c r="F17" i="22"/>
  <c r="F19" i="22"/>
  <c r="F42" i="22"/>
  <c r="Q42" i="22"/>
  <c r="S36" i="22"/>
  <c r="F14" i="22"/>
  <c r="F21" i="22"/>
  <c r="F22" i="22"/>
  <c r="U42" i="22"/>
  <c r="H19" i="29" s="1"/>
  <c r="I19" i="29" s="1"/>
  <c r="J19" i="29" s="1"/>
  <c r="K19" i="29" s="1"/>
  <c r="D66" i="26"/>
  <c r="D67" i="26" s="1"/>
  <c r="E66" i="26"/>
  <c r="E67" i="26" s="1"/>
  <c r="F66" i="26"/>
  <c r="F67" i="26" s="1"/>
  <c r="G66" i="26"/>
  <c r="G67" i="26" s="1"/>
  <c r="H66" i="26"/>
  <c r="H67" i="26" s="1"/>
  <c r="I66" i="26"/>
  <c r="I67" i="26" s="1"/>
  <c r="D56" i="26"/>
  <c r="D57" i="26" s="1"/>
  <c r="E56" i="26"/>
  <c r="E57" i="26" s="1"/>
  <c r="F56" i="26"/>
  <c r="F57" i="26" s="1"/>
  <c r="G56" i="26"/>
  <c r="G57" i="26" s="1"/>
  <c r="H56" i="26"/>
  <c r="H57" i="26" s="1"/>
  <c r="I56" i="26"/>
  <c r="I57" i="26" s="1"/>
  <c r="J56" i="26"/>
  <c r="P44" i="26" s="1"/>
  <c r="P45" i="26" s="1"/>
  <c r="K56" i="26"/>
  <c r="C37" i="26"/>
  <c r="C56" i="26"/>
  <c r="D37" i="26"/>
  <c r="E37" i="26"/>
  <c r="E38" i="26" s="1"/>
  <c r="F37" i="26"/>
  <c r="F38" i="26" s="1"/>
  <c r="G37" i="26"/>
  <c r="G38" i="26" s="1"/>
  <c r="H37" i="26"/>
  <c r="H38" i="26" s="1"/>
  <c r="I37" i="26"/>
  <c r="I38" i="26" s="1"/>
  <c r="J37" i="26"/>
  <c r="D18" i="26"/>
  <c r="E18" i="26"/>
  <c r="E19" i="26" s="1"/>
  <c r="F18" i="26"/>
  <c r="F19" i="26"/>
  <c r="G18" i="26"/>
  <c r="G19" i="26"/>
  <c r="H18" i="26"/>
  <c r="H19" i="26"/>
  <c r="I18" i="26"/>
  <c r="I19" i="26"/>
  <c r="J18" i="26"/>
  <c r="J66" i="26"/>
  <c r="D64" i="30"/>
  <c r="D65" i="30"/>
  <c r="E64" i="30"/>
  <c r="E65" i="30"/>
  <c r="F64" i="30"/>
  <c r="F65" i="30"/>
  <c r="G64" i="30"/>
  <c r="G65" i="30"/>
  <c r="H64" i="30"/>
  <c r="H65" i="30"/>
  <c r="I64" i="30"/>
  <c r="I65" i="30"/>
  <c r="J64" i="30"/>
  <c r="J65" i="30"/>
  <c r="K64" i="30"/>
  <c r="K65" i="30"/>
  <c r="L64" i="30"/>
  <c r="L65" i="30"/>
  <c r="V62" i="30" s="1"/>
  <c r="M64" i="30"/>
  <c r="N64" i="30"/>
  <c r="T63" i="30" s="1"/>
  <c r="T64" i="30" s="1"/>
  <c r="O64" i="30"/>
  <c r="D56" i="30"/>
  <c r="D57" i="30"/>
  <c r="E56" i="30"/>
  <c r="E57" i="30"/>
  <c r="F56" i="30"/>
  <c r="F57" i="30"/>
  <c r="G56" i="30"/>
  <c r="G57" i="30"/>
  <c r="H56" i="30"/>
  <c r="H57" i="30"/>
  <c r="I56" i="30"/>
  <c r="I57" i="30"/>
  <c r="J56" i="30"/>
  <c r="J57" i="30"/>
  <c r="K56" i="30"/>
  <c r="K57" i="30"/>
  <c r="L56" i="30"/>
  <c r="L57" i="30"/>
  <c r="M56" i="30"/>
  <c r="N56" i="30"/>
  <c r="T44" i="30" s="1"/>
  <c r="T45" i="30"/>
  <c r="T46" i="30" s="1"/>
  <c r="O56" i="30"/>
  <c r="C56" i="30"/>
  <c r="C57" i="30" s="1"/>
  <c r="X43" i="30"/>
  <c r="L37" i="30"/>
  <c r="L38" i="30"/>
  <c r="M37" i="30"/>
  <c r="C37" i="30"/>
  <c r="C38" i="30" s="1"/>
  <c r="X24" i="30" s="1"/>
  <c r="O37" i="30"/>
  <c r="N37" i="30"/>
  <c r="T25" i="30"/>
  <c r="T26" i="30" s="1"/>
  <c r="T27" i="30"/>
  <c r="K37" i="30"/>
  <c r="K38" i="30"/>
  <c r="J37" i="30"/>
  <c r="J38" i="30"/>
  <c r="I37" i="30"/>
  <c r="I38" i="30"/>
  <c r="H37" i="30"/>
  <c r="H38" i="30"/>
  <c r="G37" i="30"/>
  <c r="G38" i="30"/>
  <c r="F37" i="30"/>
  <c r="F38" i="30"/>
  <c r="E37" i="30"/>
  <c r="E38" i="30"/>
  <c r="D37" i="30"/>
  <c r="D38" i="30"/>
  <c r="D18" i="30"/>
  <c r="D19" i="30"/>
  <c r="E18" i="30"/>
  <c r="E19" i="30"/>
  <c r="F18" i="30"/>
  <c r="F19" i="30"/>
  <c r="G18" i="30"/>
  <c r="G19" i="30"/>
  <c r="H18" i="30"/>
  <c r="H19" i="30"/>
  <c r="I18" i="30"/>
  <c r="I19" i="30"/>
  <c r="J18" i="30"/>
  <c r="J19" i="30"/>
  <c r="K18" i="30"/>
  <c r="K19" i="30"/>
  <c r="L18" i="30"/>
  <c r="L19" i="30"/>
  <c r="M18" i="30"/>
  <c r="N18" i="30"/>
  <c r="T6" i="30" s="1"/>
  <c r="O18" i="30"/>
  <c r="T65" i="30"/>
  <c r="C64" i="30"/>
  <c r="C65" i="30"/>
  <c r="X62" i="30" s="1"/>
  <c r="C18" i="30"/>
  <c r="C19" i="30" s="1"/>
  <c r="X5" i="30" s="1"/>
  <c r="D8" i="29"/>
  <c r="X63" i="30"/>
  <c r="C57" i="26"/>
  <c r="T43" i="26" s="1"/>
  <c r="T46" i="26" s="1"/>
  <c r="P46" i="26"/>
  <c r="T45" i="26" s="1"/>
  <c r="C66" i="26"/>
  <c r="C67" i="26"/>
  <c r="T62" i="26" s="1"/>
  <c r="T64" i="26" s="1"/>
  <c r="K66" i="26"/>
  <c r="P63" i="26"/>
  <c r="P64" i="26" s="1"/>
  <c r="P65" i="26"/>
  <c r="K37" i="26"/>
  <c r="R62" i="26"/>
  <c r="R65" i="26" s="1"/>
  <c r="K18" i="26"/>
  <c r="D38" i="26"/>
  <c r="R24" i="26" s="1"/>
  <c r="C38" i="26"/>
  <c r="C18" i="26"/>
  <c r="C19" i="26"/>
  <c r="T5" i="26" s="1"/>
  <c r="T7" i="26" s="1"/>
  <c r="P25" i="26"/>
  <c r="P26" i="26" s="1"/>
  <c r="D19" i="26"/>
  <c r="T24" i="26"/>
  <c r="P6" i="26"/>
  <c r="P7" i="26" s="1"/>
  <c r="P8" i="26"/>
  <c r="R64" i="26" l="1"/>
  <c r="R27" i="26"/>
  <c r="R25" i="26"/>
  <c r="R26" i="26"/>
  <c r="L19" i="29"/>
  <c r="P27" i="26"/>
  <c r="T25" i="26"/>
  <c r="T39" i="22"/>
  <c r="F6" i="29"/>
  <c r="F17" i="29"/>
  <c r="G17" i="29"/>
  <c r="E76" i="26"/>
  <c r="G6" i="29"/>
  <c r="E7" i="29"/>
  <c r="E18" i="29"/>
  <c r="E19" i="29"/>
  <c r="E8" i="29"/>
  <c r="C8" i="29"/>
  <c r="C19" i="29"/>
  <c r="D21" i="29"/>
  <c r="X25" i="30"/>
  <c r="X27" i="30"/>
  <c r="D10" i="29"/>
  <c r="X26" i="30"/>
  <c r="C21" i="29"/>
  <c r="X6" i="30"/>
  <c r="C10" i="29"/>
  <c r="X7" i="30"/>
  <c r="X8" i="30"/>
  <c r="T26" i="26"/>
  <c r="V63" i="30"/>
  <c r="G20" i="29"/>
  <c r="V65" i="30"/>
  <c r="E74" i="30" s="1"/>
  <c r="T32" i="22"/>
  <c r="S32" i="22"/>
  <c r="R63" i="26"/>
  <c r="T6" i="26"/>
  <c r="V64" i="30"/>
  <c r="E9" i="29"/>
  <c r="V46" i="30"/>
  <c r="D74" i="30" s="1"/>
  <c r="F10" i="29"/>
  <c r="G10" i="29"/>
  <c r="X64" i="30"/>
  <c r="G21" i="29"/>
  <c r="X65" i="30"/>
  <c r="E21" i="29"/>
  <c r="X46" i="30"/>
  <c r="X45" i="30"/>
  <c r="E10" i="29"/>
  <c r="Q5" i="29"/>
  <c r="D25" i="22"/>
  <c r="D5" i="22" s="1"/>
  <c r="F13" i="22"/>
  <c r="G9" i="29"/>
  <c r="T36" i="22"/>
  <c r="T8" i="26"/>
  <c r="V44" i="30"/>
  <c r="X44" i="30"/>
  <c r="E20" i="29"/>
  <c r="E25" i="22"/>
  <c r="E5" i="22" s="1"/>
  <c r="J42" i="22"/>
  <c r="F9" i="29"/>
  <c r="F20" i="29"/>
  <c r="T27" i="26"/>
  <c r="T65" i="26"/>
  <c r="T63" i="26"/>
  <c r="T44" i="26"/>
  <c r="V45" i="30"/>
  <c r="V24" i="30"/>
  <c r="R43" i="26"/>
  <c r="C25" i="22"/>
  <c r="C5" i="22" s="1"/>
  <c r="S35" i="22"/>
  <c r="T30" i="22"/>
  <c r="R34" i="22"/>
  <c r="O42" i="22"/>
  <c r="R40" i="22"/>
  <c r="T40" i="22" s="1"/>
  <c r="F21" i="29"/>
  <c r="G16" i="29"/>
  <c r="F5" i="29"/>
  <c r="Q16" i="29"/>
  <c r="G22" i="29" l="1"/>
  <c r="C9" i="29"/>
  <c r="C20" i="29"/>
  <c r="V8" i="30"/>
  <c r="B74" i="30" s="1"/>
  <c r="V6" i="30"/>
  <c r="Q8" i="29"/>
  <c r="H21" i="29"/>
  <c r="T34" i="22"/>
  <c r="S34" i="22"/>
  <c r="S42" i="22" s="1"/>
  <c r="R6" i="26"/>
  <c r="R8" i="26"/>
  <c r="R7" i="26"/>
  <c r="T42" i="22"/>
  <c r="R45" i="26"/>
  <c r="R46" i="26"/>
  <c r="R44" i="26"/>
  <c r="D18" i="29"/>
  <c r="D7" i="29"/>
  <c r="E16" i="29"/>
  <c r="E5" i="29"/>
  <c r="F16" i="29"/>
  <c r="F25" i="22"/>
  <c r="H10" i="29"/>
  <c r="I10" i="29" s="1"/>
  <c r="J10" i="29" s="1"/>
  <c r="K10" i="29" s="1"/>
  <c r="L10" i="29" s="1"/>
  <c r="M10" i="29" s="1"/>
  <c r="N10" i="29" s="1"/>
  <c r="O10" i="29" s="1"/>
  <c r="P10" i="29" s="1"/>
  <c r="Q10" i="29" s="1"/>
  <c r="C16" i="29"/>
  <c r="C5" i="29"/>
  <c r="F18" i="29"/>
  <c r="F7" i="29"/>
  <c r="G7" i="29"/>
  <c r="G18" i="29"/>
  <c r="G23" i="29" s="1"/>
  <c r="M19" i="29"/>
  <c r="D9" i="29"/>
  <c r="V26" i="30"/>
  <c r="V25" i="30"/>
  <c r="D20" i="29"/>
  <c r="V27" i="30"/>
  <c r="C74" i="30" s="1"/>
  <c r="R42" i="22"/>
  <c r="C18" i="29"/>
  <c r="C7" i="29"/>
  <c r="D5" i="29"/>
  <c r="D12" i="29" s="1"/>
  <c r="D16" i="29"/>
  <c r="D23" i="29" s="1"/>
  <c r="F8" i="29"/>
  <c r="D17" i="29"/>
  <c r="C76" i="26"/>
  <c r="D6" i="29"/>
  <c r="H7" i="29" l="1"/>
  <c r="I7" i="29" s="1"/>
  <c r="J7" i="29" s="1"/>
  <c r="K7" i="29" s="1"/>
  <c r="L7" i="29" s="1"/>
  <c r="M7" i="29" s="1"/>
  <c r="N7" i="29" s="1"/>
  <c r="O7" i="29" s="1"/>
  <c r="P7" i="29" s="1"/>
  <c r="Q7" i="29" s="1"/>
  <c r="F12" i="29"/>
  <c r="G24" i="29"/>
  <c r="I8" i="29"/>
  <c r="H18" i="29"/>
  <c r="I18" i="29" s="1"/>
  <c r="J18" i="29" s="1"/>
  <c r="K18" i="29" s="1"/>
  <c r="L18" i="29" s="1"/>
  <c r="M18" i="29" s="1"/>
  <c r="N18" i="29" s="1"/>
  <c r="O18" i="29" s="1"/>
  <c r="P18" i="29" s="1"/>
  <c r="Q18" i="29" s="1"/>
  <c r="Q23" i="29" s="1"/>
  <c r="F11" i="29"/>
  <c r="F13" i="29" s="1"/>
  <c r="F19" i="29"/>
  <c r="F23" i="29" s="1"/>
  <c r="Q12" i="29"/>
  <c r="E6" i="29"/>
  <c r="E11" i="29" s="1"/>
  <c r="E17" i="29"/>
  <c r="E22" i="29" s="1"/>
  <c r="D76" i="26"/>
  <c r="B76" i="26"/>
  <c r="C6" i="29"/>
  <c r="H6" i="29" s="1"/>
  <c r="I6" i="29" s="1"/>
  <c r="J6" i="29" s="1"/>
  <c r="K6" i="29" s="1"/>
  <c r="L6" i="29" s="1"/>
  <c r="M6" i="29" s="1"/>
  <c r="N6" i="29" s="1"/>
  <c r="O6" i="29" s="1"/>
  <c r="P6" i="29" s="1"/>
  <c r="Q6" i="29" s="1"/>
  <c r="C17" i="29"/>
  <c r="H17" i="29" s="1"/>
  <c r="I17" i="29" s="1"/>
  <c r="J17" i="29" s="1"/>
  <c r="K17" i="29" s="1"/>
  <c r="L17" i="29" s="1"/>
  <c r="M17" i="29" s="1"/>
  <c r="N17" i="29" s="1"/>
  <c r="O17" i="29" s="1"/>
  <c r="P17" i="29" s="1"/>
  <c r="Q17" i="29" s="1"/>
  <c r="Q22" i="29" s="1"/>
  <c r="E12" i="29"/>
  <c r="G12" i="29"/>
  <c r="H20" i="29"/>
  <c r="I20" i="29" s="1"/>
  <c r="J20" i="29" s="1"/>
  <c r="K20" i="29" s="1"/>
  <c r="L20" i="29" s="1"/>
  <c r="M20" i="29" s="1"/>
  <c r="N20" i="29" s="1"/>
  <c r="O20" i="29" s="1"/>
  <c r="P20" i="29" s="1"/>
  <c r="C12" i="29"/>
  <c r="D22" i="29"/>
  <c r="D11" i="29"/>
  <c r="N19" i="29"/>
  <c r="C23" i="29"/>
  <c r="H16" i="29"/>
  <c r="H23" i="29" s="1"/>
  <c r="H5" i="29"/>
  <c r="I21" i="29"/>
  <c r="E23" i="29"/>
  <c r="H9" i="29"/>
  <c r="I9" i="29" s="1"/>
  <c r="J9" i="29" s="1"/>
  <c r="K9" i="29" s="1"/>
  <c r="L9" i="29" s="1"/>
  <c r="M9" i="29" s="1"/>
  <c r="N9" i="29" s="1"/>
  <c r="O9" i="29" s="1"/>
  <c r="P9" i="29" s="1"/>
  <c r="Q9" i="29" s="1"/>
  <c r="G11" i="29"/>
  <c r="C22" i="29" l="1"/>
  <c r="Q24" i="29"/>
  <c r="E24" i="29"/>
  <c r="D24" i="29"/>
  <c r="C24" i="29"/>
  <c r="E13" i="29"/>
  <c r="J8" i="29"/>
  <c r="G13" i="29"/>
  <c r="J21" i="29"/>
  <c r="C11" i="29"/>
  <c r="F22" i="29"/>
  <c r="F24" i="29" s="1"/>
  <c r="F25" i="29" s="1"/>
  <c r="H11" i="29"/>
  <c r="I5" i="29"/>
  <c r="O19" i="29"/>
  <c r="Q11" i="29"/>
  <c r="Q13" i="29" s="1"/>
  <c r="I16" i="29"/>
  <c r="H22" i="29"/>
  <c r="D13" i="29"/>
  <c r="H12" i="29"/>
  <c r="D25" i="29" l="1"/>
  <c r="Q25" i="29"/>
  <c r="K21" i="29"/>
  <c r="G25" i="29"/>
  <c r="H24" i="29"/>
  <c r="P19" i="29"/>
  <c r="K8" i="29"/>
  <c r="J16" i="29"/>
  <c r="J23" i="29" s="1"/>
  <c r="I22" i="29"/>
  <c r="J5" i="29"/>
  <c r="I11" i="29"/>
  <c r="C13" i="29"/>
  <c r="C25" i="29" s="1"/>
  <c r="I12" i="29"/>
  <c r="H13" i="29"/>
  <c r="I23" i="29"/>
  <c r="E25" i="29"/>
  <c r="L8" i="29" l="1"/>
  <c r="I24" i="29"/>
  <c r="L21" i="29"/>
  <c r="K5" i="29"/>
  <c r="J11" i="29"/>
  <c r="J22" i="29"/>
  <c r="K16" i="29"/>
  <c r="K23" i="29" s="1"/>
  <c r="H25" i="29"/>
  <c r="I13" i="29"/>
  <c r="J12" i="29"/>
  <c r="I25" i="29" l="1"/>
  <c r="J13" i="29"/>
  <c r="L5" i="29"/>
  <c r="L12" i="29" s="1"/>
  <c r="K11" i="29"/>
  <c r="M21" i="29"/>
  <c r="L16" i="29"/>
  <c r="K22" i="29"/>
  <c r="K12" i="29"/>
  <c r="J24" i="29"/>
  <c r="M8" i="29"/>
  <c r="J25" i="29" l="1"/>
  <c r="N8" i="29"/>
  <c r="N21" i="29"/>
  <c r="K24" i="29"/>
  <c r="M16" i="29"/>
  <c r="M23" i="29" s="1"/>
  <c r="L22" i="29"/>
  <c r="M5" i="29"/>
  <c r="M12" i="29" s="1"/>
  <c r="L11" i="29"/>
  <c r="L13" i="29" s="1"/>
  <c r="K13" i="29"/>
  <c r="L23" i="29"/>
  <c r="K25" i="29" l="1"/>
  <c r="L24" i="29"/>
  <c r="L25" i="29" s="1"/>
  <c r="N16" i="29"/>
  <c r="N23" i="29" s="1"/>
  <c r="M22" i="29"/>
  <c r="O21" i="29"/>
  <c r="N5" i="29"/>
  <c r="N12" i="29" s="1"/>
  <c r="M11" i="29"/>
  <c r="O8" i="29"/>
  <c r="P21" i="29" l="1"/>
  <c r="M13" i="29"/>
  <c r="N22" i="29"/>
  <c r="N24" i="29" s="1"/>
  <c r="O16" i="29"/>
  <c r="P8" i="29"/>
  <c r="M24" i="29"/>
  <c r="O5" i="29"/>
  <c r="O12" i="29" s="1"/>
  <c r="N11" i="29"/>
  <c r="N13" i="29" s="1"/>
  <c r="N25" i="29" l="1"/>
  <c r="P16" i="29"/>
  <c r="P22" i="29" s="1"/>
  <c r="O22" i="29"/>
  <c r="O23" i="29"/>
  <c r="M25" i="29"/>
  <c r="P5" i="29"/>
  <c r="P11" i="29" s="1"/>
  <c r="O11" i="29"/>
  <c r="O13" i="29" s="1"/>
  <c r="P12" i="29"/>
  <c r="R12" i="29" s="1"/>
  <c r="P23" i="29" l="1"/>
  <c r="R23" i="29" s="1"/>
  <c r="R11" i="29"/>
  <c r="R22" i="29"/>
  <c r="O24" i="29"/>
  <c r="O25" i="29" s="1"/>
  <c r="P13" i="29"/>
  <c r="R13" i="29" s="1"/>
  <c r="P24" i="29"/>
  <c r="R24" i="29" l="1"/>
  <c r="P25" i="29"/>
  <c r="R25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Лупета Далила Александровна</author>
  </authors>
  <commentList>
    <comment ref="S36" authorId="0" shapeId="0" xr:uid="{789657C5-83A0-43CA-993C-0A8B2709BDE8}">
      <text>
        <r>
          <rPr>
            <b/>
            <sz val="9"/>
            <color indexed="81"/>
            <rFont val="Tahoma"/>
            <family val="2"/>
            <charset val="204"/>
          </rPr>
          <t>Лупета Далила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ОР на МТБЭ и БК-3 начиная с 09.07</t>
        </r>
      </text>
    </comment>
  </commentList>
</comments>
</file>

<file path=xl/sharedStrings.xml><?xml version="1.0" encoding="utf-8"?>
<sst xmlns="http://schemas.openxmlformats.org/spreadsheetml/2006/main" count="585" uniqueCount="147">
  <si>
    <t>Единица измерения</t>
  </si>
  <si>
    <t>расчетные значения</t>
  </si>
  <si>
    <t>До реализации проекта</t>
  </si>
  <si>
    <t>Год</t>
  </si>
  <si>
    <t>Подтверждающая документация</t>
  </si>
  <si>
    <t>Сбросы на факел с колонн Кт-118 уст. БК-3, т</t>
  </si>
  <si>
    <t>Выгрузка из MES</t>
  </si>
  <si>
    <r>
      <t>Потребление ПГ на продувку факельного коллектора ГФ-1, м</t>
    </r>
    <r>
      <rPr>
        <b/>
        <vertAlign val="subscript"/>
        <sz val="11"/>
        <color theme="0"/>
        <rFont val="Arial"/>
        <family val="2"/>
        <charset val="204"/>
      </rPr>
      <t>3</t>
    </r>
  </si>
  <si>
    <r>
      <t>Потребление ПГ на продувку факельного коллектора ГФ-2, м</t>
    </r>
    <r>
      <rPr>
        <b/>
        <vertAlign val="subscript"/>
        <sz val="11"/>
        <color theme="0"/>
        <rFont val="Arial"/>
        <family val="2"/>
        <charset val="204"/>
      </rPr>
      <t>3</t>
    </r>
  </si>
  <si>
    <r>
      <t>Потребление ПГ на продувку факельного коллектора бутадиен, м</t>
    </r>
    <r>
      <rPr>
        <b/>
        <vertAlign val="subscript"/>
        <sz val="11"/>
        <color theme="0"/>
        <rFont val="Arial"/>
        <family val="2"/>
        <charset val="204"/>
      </rPr>
      <t>3</t>
    </r>
  </si>
  <si>
    <t>Потребление ПГ на продувку ИТОГО</t>
  </si>
  <si>
    <t>Расчет</t>
  </si>
  <si>
    <t>Таблица 2. Сбросы на факел с колонн Кт-118 уст. БК-3 по месяцам</t>
  </si>
  <si>
    <t>Месяц</t>
  </si>
  <si>
    <t>2026+ базовый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</si>
  <si>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</si>
  <si>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</si>
  <si>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</si>
  <si>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</si>
  <si>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</si>
  <si>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</si>
  <si>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</si>
  <si>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</si>
  <si>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</si>
  <si>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</si>
  <si>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</si>
  <si>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</si>
  <si>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</si>
  <si>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Таблица 3. Потребление ПГ на продувку факельного коллектора по месяцам</t>
  </si>
  <si>
    <t>2026 базовый</t>
  </si>
  <si>
    <t>2026 проектный</t>
  </si>
  <si>
    <t>2027+ базовый</t>
  </si>
  <si>
    <t>2027+ проектный</t>
  </si>
  <si>
    <r>
      <t>Расходомер, м</t>
    </r>
    <r>
      <rPr>
        <b/>
        <vertAlign val="subscript"/>
        <sz val="11"/>
        <color theme="0"/>
        <rFont val="Arial"/>
        <family val="2"/>
        <charset val="204"/>
      </rPr>
      <t>3</t>
    </r>
    <r>
      <rPr>
        <b/>
        <sz val="11"/>
        <color theme="0"/>
        <rFont val="Arial"/>
        <family val="2"/>
        <charset val="204"/>
      </rPr>
      <t>/год</t>
    </r>
  </si>
  <si>
    <t>Факельный коллектор бутадиен (401)</t>
  </si>
  <si>
    <t>Таблица 1.1 Физико-химические показатели абгаза, 2023</t>
  </si>
  <si>
    <t>Таблица 1.2 Переводные коэффициенты (2023)</t>
  </si>
  <si>
    <t xml:space="preserve">Таблица 1.3 Коэффициент выбросов (2023) </t>
  </si>
  <si>
    <t>Переводные коэффициенты</t>
  </si>
  <si>
    <r>
      <t>СН</t>
    </r>
    <r>
      <rPr>
        <b/>
        <vertAlign val="subscript"/>
        <sz val="12"/>
        <color theme="0"/>
        <rFont val="Arial"/>
        <family val="2"/>
        <charset val="204"/>
      </rPr>
      <t>4</t>
    </r>
  </si>
  <si>
    <t>Показатель</t>
  </si>
  <si>
    <r>
      <t>CH</t>
    </r>
    <r>
      <rPr>
        <vertAlign val="subscript"/>
        <sz val="12"/>
        <color theme="1"/>
        <rFont val="Arial"/>
        <family val="2"/>
        <charset val="204"/>
      </rPr>
      <t>4</t>
    </r>
  </si>
  <si>
    <t>CO2</t>
  </si>
  <si>
    <t>CO</t>
  </si>
  <si>
    <t>C2</t>
  </si>
  <si>
    <t>C3</t>
  </si>
  <si>
    <t>C4</t>
  </si>
  <si>
    <t>C6+</t>
  </si>
  <si>
    <t>НТС</t>
  </si>
  <si>
    <t>Плотность</t>
  </si>
  <si>
    <t>ккал</t>
  </si>
  <si>
    <t>т.у.т.</t>
  </si>
  <si>
    <t>Факельное сжигание</t>
  </si>
  <si>
    <t>Количество атомов углерода</t>
  </si>
  <si>
    <r>
      <t>ккал/м</t>
    </r>
    <r>
      <rPr>
        <vertAlign val="superscript"/>
        <sz val="12"/>
        <color theme="1"/>
        <rFont val="Arial"/>
        <family val="2"/>
        <charset val="204"/>
      </rPr>
      <t>3</t>
    </r>
  </si>
  <si>
    <t>ТДж</t>
  </si>
  <si>
    <r>
      <t>т СО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>/тыс. куб</t>
    </r>
  </si>
  <si>
    <t>т СН4/тыс. куб</t>
  </si>
  <si>
    <t>январь</t>
  </si>
  <si>
    <t>тыс. куб</t>
  </si>
  <si>
    <r>
      <t>т СО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>/т.у.т</t>
    </r>
  </si>
  <si>
    <t>т СН4/т.у.т</t>
  </si>
  <si>
    <t>февраль</t>
  </si>
  <si>
    <r>
      <t>т СО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>/ТДж</t>
    </r>
  </si>
  <si>
    <t>т СН4/ТДж</t>
  </si>
  <si>
    <t>март</t>
  </si>
  <si>
    <r>
      <t>т СО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>/т</t>
    </r>
  </si>
  <si>
    <t>т СН4/т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</si>
  <si>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</si>
  <si>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</si>
  <si>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</si>
  <si>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</si>
  <si>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</si>
  <si>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</si>
  <si>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</si>
  <si>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</si>
  <si>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</si>
  <si>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Среднее значение</t>
  </si>
  <si>
    <t>Умножение на n атомов углерода</t>
  </si>
  <si>
    <t>Таблица 2.1 Физико-химические показатели абгаза, 2024</t>
  </si>
  <si>
    <t>Таблица 2.2 Переводные коэффициенты (2024)</t>
  </si>
  <si>
    <t xml:space="preserve">Таблица 2.3 Коэффициент выбросов (2024) </t>
  </si>
  <si>
    <t>Таблица 3.1 Физико-химические показатели абгаза, 2025</t>
  </si>
  <si>
    <t>Таблица 3.2 Переводные коэффициенты (2025)</t>
  </si>
  <si>
    <t>Таблица 3.3 Коэффициент выбросов (2025)</t>
  </si>
  <si>
    <t>Таблица 4.1 Физико-химические показатели абгаза, 2026</t>
  </si>
  <si>
    <t>Таблица 4.2 Переводные коэффициенты (2026)</t>
  </si>
  <si>
    <t xml:space="preserve">Таблица 4.3 Коэффициент выбросов (2026) </t>
  </si>
  <si>
    <r>
      <t>Таблица 5. Значение плотности СО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 xml:space="preserve"> (при t=20℃)</t>
    </r>
  </si>
  <si>
    <t>Газ</t>
  </si>
  <si>
    <r>
      <t>Плотность (кг/м</t>
    </r>
    <r>
      <rPr>
        <b/>
        <vertAlign val="superscript"/>
        <sz val="12"/>
        <color theme="0"/>
        <rFont val="Arial"/>
        <family val="2"/>
        <charset val="204"/>
      </rPr>
      <t>3</t>
    </r>
    <r>
      <rPr>
        <b/>
        <sz val="12"/>
        <color theme="0"/>
        <rFont val="Arial"/>
        <family val="2"/>
        <charset val="204"/>
      </rPr>
      <t>)</t>
    </r>
  </si>
  <si>
    <t>Источник</t>
  </si>
  <si>
    <t>СО2</t>
  </si>
  <si>
    <t>Приказ МПР №371</t>
  </si>
  <si>
    <t>СН4</t>
  </si>
  <si>
    <t>Таблица 6. КЭВ абгаза</t>
  </si>
  <si>
    <t>Таблица 7. Коэффициент недожога углеводородной смеси на факельной установке</t>
  </si>
  <si>
    <r>
      <t>К</t>
    </r>
    <r>
      <rPr>
        <b/>
        <vertAlign val="subscript"/>
        <sz val="12"/>
        <color theme="0"/>
        <rFont val="Arial"/>
        <family val="2"/>
        <charset val="204"/>
      </rPr>
      <t>недожога</t>
    </r>
    <r>
      <rPr>
        <b/>
        <sz val="12"/>
        <color theme="0"/>
        <rFont val="Arial"/>
        <family val="2"/>
        <charset val="204"/>
      </rPr>
      <t>, доля</t>
    </r>
  </si>
  <si>
    <t>Таблица 8. Потенциалы глобального потепления парниковых газов</t>
  </si>
  <si>
    <t>Вещество</t>
  </si>
  <si>
    <t>Потенциал ПГП</t>
  </si>
  <si>
    <t>Источник информации</t>
  </si>
  <si>
    <r>
      <t>CO</t>
    </r>
    <r>
      <rPr>
        <vertAlign val="subscript"/>
        <sz val="12"/>
        <color theme="1"/>
        <rFont val="Arial"/>
        <family val="2"/>
        <charset val="204"/>
      </rPr>
      <t>2</t>
    </r>
  </si>
  <si>
    <t>Распоряжение Правительства РФ от 22.10.2021 №2979-Р</t>
  </si>
  <si>
    <r>
      <t>N</t>
    </r>
    <r>
      <rPr>
        <vertAlign val="subscript"/>
        <sz val="12"/>
        <color theme="1"/>
        <rFont val="Arial"/>
        <family val="2"/>
        <charset val="204"/>
      </rPr>
      <t>2</t>
    </r>
    <r>
      <rPr>
        <sz val="12"/>
        <color theme="1"/>
        <rFont val="Arial"/>
        <family val="2"/>
        <charset val="204"/>
      </rPr>
      <t>O</t>
    </r>
  </si>
  <si>
    <t>Таблица 1.1 Физико-химические показатели ПГ, 2023</t>
  </si>
  <si>
    <r>
      <t>СО</t>
    </r>
    <r>
      <rPr>
        <b/>
        <vertAlign val="subscript"/>
        <sz val="12"/>
        <color theme="0"/>
        <rFont val="Arial"/>
        <family val="2"/>
        <charset val="204"/>
      </rPr>
      <t>2</t>
    </r>
  </si>
  <si>
    <t>метан</t>
  </si>
  <si>
    <t>этан</t>
  </si>
  <si>
    <t>пропан</t>
  </si>
  <si>
    <t>изо-бутан</t>
  </si>
  <si>
    <t>норм-бутан</t>
  </si>
  <si>
    <t>нео-пентан</t>
  </si>
  <si>
    <t>изо-пентан</t>
  </si>
  <si>
    <t>норм-пентан</t>
  </si>
  <si>
    <t>гексаны</t>
  </si>
  <si>
    <t>диоксид углерода</t>
  </si>
  <si>
    <r>
      <t>МДж/м</t>
    </r>
    <r>
      <rPr>
        <vertAlign val="superscript"/>
        <sz val="12"/>
        <color theme="1"/>
        <rFont val="Arial"/>
        <family val="2"/>
        <charset val="204"/>
      </rPr>
      <t>3</t>
    </r>
  </si>
  <si>
    <t>Таблица 2.1 Физико-химические показатели ПГ, 2024</t>
  </si>
  <si>
    <t>Таблица 3.1 Физико-химические показатели ПГ, 2025</t>
  </si>
  <si>
    <t>Таблица 3.2 Переводные коэффициенты (2025, до проекта)</t>
  </si>
  <si>
    <t>Таблица 3.3 Коэффициент выбросов (2025, до проекта)</t>
  </si>
  <si>
    <t>0.005</t>
  </si>
  <si>
    <t>Таблица 4.1 Физико-химические показатели ПГ, 2026</t>
  </si>
  <si>
    <t>Фактические значения</t>
  </si>
  <si>
    <t>Базовая линия</t>
  </si>
  <si>
    <t>01.01.2026-24.07.2026</t>
  </si>
  <si>
    <t>25.07.2026-31.12.2026</t>
  </si>
  <si>
    <t>01.01.2036-24.07.2036</t>
  </si>
  <si>
    <t>Сжигание абгаза на факеле, т</t>
  </si>
  <si>
    <r>
      <t>Коэффициент выбросов при сжигании абгаза на факеле, т СО</t>
    </r>
    <r>
      <rPr>
        <vertAlign val="subscript"/>
        <sz val="11"/>
        <color theme="1"/>
        <rFont val="Arial"/>
        <family val="2"/>
        <charset val="204"/>
      </rPr>
      <t>2</t>
    </r>
    <r>
      <rPr>
        <sz val="11"/>
        <color theme="1"/>
        <rFont val="Arial"/>
        <family val="2"/>
        <charset val="204"/>
      </rPr>
      <t>/т</t>
    </r>
  </si>
  <si>
    <r>
      <t>Коэффициент выбросов при сжигании абгаза на факеле, т СН</t>
    </r>
    <r>
      <rPr>
        <vertAlign val="subscript"/>
        <sz val="11"/>
        <color theme="1"/>
        <rFont val="Arial"/>
        <family val="2"/>
        <charset val="204"/>
      </rPr>
      <t>4</t>
    </r>
    <r>
      <rPr>
        <sz val="11"/>
        <color theme="1"/>
        <rFont val="Arial"/>
        <family val="2"/>
        <charset val="204"/>
      </rPr>
      <t>/т</t>
    </r>
  </si>
  <si>
    <r>
      <t>Сжигание (потребление) ПГ на факеле в целях продувки, тыс. м</t>
    </r>
    <r>
      <rPr>
        <vertAlign val="subscript"/>
        <sz val="11"/>
        <color theme="1"/>
        <rFont val="Arial"/>
        <family val="2"/>
        <charset val="204"/>
      </rPr>
      <t>3</t>
    </r>
  </si>
  <si>
    <r>
      <t>Выбросы, т СО</t>
    </r>
    <r>
      <rPr>
        <b/>
        <vertAlign val="subscript"/>
        <sz val="11"/>
        <color theme="1"/>
        <rFont val="Arial"/>
        <family val="2"/>
        <charset val="204"/>
      </rPr>
      <t>2</t>
    </r>
  </si>
  <si>
    <r>
      <t>Выбросы, т CH</t>
    </r>
    <r>
      <rPr>
        <b/>
        <vertAlign val="subscript"/>
        <sz val="11"/>
        <color theme="1"/>
        <rFont val="Arial"/>
        <family val="2"/>
        <charset val="204"/>
      </rPr>
      <t>4</t>
    </r>
    <r>
      <rPr>
        <b/>
        <sz val="11"/>
        <color theme="1"/>
        <rFont val="Arial"/>
        <family val="2"/>
        <charset val="204"/>
      </rPr>
      <t>, в т СО</t>
    </r>
    <r>
      <rPr>
        <b/>
        <vertAlign val="subscript"/>
        <sz val="11"/>
        <color theme="1"/>
        <rFont val="Arial"/>
        <family val="2"/>
        <charset val="204"/>
      </rPr>
      <t>2</t>
    </r>
    <r>
      <rPr>
        <b/>
        <sz val="11"/>
        <color theme="1"/>
        <rFont val="Arial"/>
        <family val="2"/>
        <charset val="204"/>
      </rPr>
      <t>-экв.</t>
    </r>
  </si>
  <si>
    <r>
      <t>Выбросы по сценарию, т СО</t>
    </r>
    <r>
      <rPr>
        <b/>
        <vertAlign val="subscript"/>
        <sz val="11"/>
        <color theme="1"/>
        <rFont val="Arial"/>
        <family val="2"/>
        <charset val="204"/>
      </rPr>
      <t>2</t>
    </r>
    <r>
      <rPr>
        <b/>
        <sz val="11"/>
        <color theme="1"/>
        <rFont val="Arial"/>
        <family val="2"/>
        <charset val="204"/>
      </rPr>
      <t>-экв.</t>
    </r>
  </si>
  <si>
    <t>Проектный сценарий</t>
  </si>
  <si>
    <r>
      <t>Сокращение выбросов, т СО</t>
    </r>
    <r>
      <rPr>
        <b/>
        <vertAlign val="subscript"/>
        <sz val="11"/>
        <color theme="1"/>
        <rFont val="Arial"/>
        <family val="2"/>
        <charset val="204"/>
      </rPr>
      <t>2</t>
    </r>
  </si>
  <si>
    <t>Факельный коллектор ГФ-1 (555)</t>
  </si>
  <si>
    <t>Факельный коллектор ГФ-2 (3342)</t>
  </si>
  <si>
    <r>
      <t>Коэффициент выбросов при сжигании ПГ на факеле, т СО</t>
    </r>
    <r>
      <rPr>
        <vertAlign val="subscript"/>
        <sz val="11"/>
        <color theme="1"/>
        <rFont val="Arial"/>
        <family val="2"/>
        <charset val="204"/>
      </rPr>
      <t>2</t>
    </r>
    <r>
      <rPr>
        <sz val="11"/>
        <color theme="1"/>
        <rFont val="Arial"/>
        <family val="2"/>
        <charset val="204"/>
      </rPr>
      <t>/тыс. м3</t>
    </r>
  </si>
  <si>
    <r>
      <t>Коэффициент выбросов при сжигании ПГ на факеле, т СО</t>
    </r>
    <r>
      <rPr>
        <vertAlign val="subscript"/>
        <sz val="11"/>
        <color theme="1"/>
        <rFont val="Arial"/>
        <family val="2"/>
        <charset val="204"/>
      </rPr>
      <t>2</t>
    </r>
    <r>
      <rPr>
        <sz val="11"/>
        <color theme="1"/>
        <rFont val="Arial"/>
        <family val="2"/>
        <charset val="204"/>
      </rPr>
      <t>/тыс м3</t>
    </r>
  </si>
  <si>
    <t>Таблица 1. Сбросы на факел и потребление ПГ</t>
  </si>
  <si>
    <r>
      <t>Коэффициент выбросов при сжигании ПГ на факеле, т СН</t>
    </r>
    <r>
      <rPr>
        <vertAlign val="subscript"/>
        <sz val="11"/>
        <color theme="1"/>
        <rFont val="Arial"/>
        <family val="2"/>
        <charset val="204"/>
      </rPr>
      <t>4</t>
    </r>
    <r>
      <rPr>
        <sz val="11"/>
        <color theme="1"/>
        <rFont val="Arial"/>
        <family val="2"/>
        <charset val="204"/>
      </rPr>
      <t>/тыс м3</t>
    </r>
  </si>
  <si>
    <r>
      <t>кг/м</t>
    </r>
    <r>
      <rPr>
        <vertAlign val="superscript"/>
        <sz val="12"/>
        <color theme="1"/>
        <rFont val="Arial"/>
        <family val="2"/>
        <charset val="204"/>
      </rPr>
      <t>3</t>
    </r>
  </si>
  <si>
    <t>кг/м3</t>
  </si>
  <si>
    <t>Сжигание ПГ на факеле в целях продувки,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</si>
</sst>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00"/>
    <numFmt numFmtId="167" formatCode="0.000"/>
    <numFmt numFmtId="168" formatCode="#,##0.000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vertAlign val="subscript"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b/>
      <vertAlign val="subscript"/>
      <sz val="12"/>
      <color theme="0"/>
      <name val="Arial"/>
      <family val="2"/>
      <charset val="204"/>
    </font>
    <font>
      <b/>
      <vertAlign val="superscript"/>
      <sz val="12"/>
      <color theme="0"/>
      <name val="Arial"/>
      <family val="2"/>
      <charset val="204"/>
    </font>
    <font>
      <i/>
      <sz val="12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vertAlign val="subscript"/>
      <sz val="11"/>
      <color theme="1"/>
      <name val="Arial"/>
      <family val="2"/>
      <charset val="204"/>
    </font>
    <font>
      <b/>
      <vertAlign val="subscript"/>
      <sz val="11"/>
      <color theme="0"/>
      <name val="Arial"/>
      <family val="2"/>
      <charset val="204"/>
    </font>
    <font>
      <b/>
      <i/>
      <sz val="11"/>
      <color theme="0"/>
      <name val="Arial"/>
      <family val="2"/>
      <charset val="204"/>
    </font>
    <font>
      <vertAlign val="subscript"/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C95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2" fillId="0" borderId="0"/>
    <xf numFmtId="9" fontId="1" fillId="0" borderId="0" applyFont="0" applyFill="0" applyBorder="0" applyProtection="0"/>
  </cellStyleXfs>
  <cellXfs count="14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6" fillId="0" borderId="0" xfId="0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8" fillId="0" borderId="0" xfId="0" applyFont="1"/>
    <xf numFmtId="4" fontId="6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2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wrapText="1"/>
    </xf>
    <xf numFmtId="167" fontId="10" fillId="2" borderId="2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6" fillId="4" borderId="2" xfId="0" applyFont="1" applyFill="1" applyBorder="1"/>
    <xf numFmtId="2" fontId="16" fillId="4" borderId="1" xfId="0" applyNumberFormat="1" applyFont="1" applyFill="1" applyBorder="1" applyAlignment="1">
      <alignment horizontal="center" vertical="center"/>
    </xf>
    <xf numFmtId="2" fontId="16" fillId="4" borderId="2" xfId="0" applyNumberFormat="1" applyFont="1" applyFill="1" applyBorder="1" applyAlignment="1">
      <alignment horizontal="center" vertical="center"/>
    </xf>
    <xf numFmtId="2" fontId="16" fillId="4" borderId="0" xfId="0" applyNumberFormat="1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0" fillId="2" borderId="1" xfId="0" applyFont="1" applyFill="1" applyBorder="1"/>
    <xf numFmtId="2" fontId="7" fillId="3" borderId="9" xfId="0" applyNumberFormat="1" applyFont="1" applyFill="1" applyBorder="1" applyAlignment="1">
      <alignment horizontal="left" vertical="center"/>
    </xf>
    <xf numFmtId="2" fontId="7" fillId="3" borderId="10" xfId="0" applyNumberFormat="1" applyFont="1" applyFill="1" applyBorder="1" applyAlignment="1">
      <alignment horizontal="left" vertical="center"/>
    </xf>
    <xf numFmtId="1" fontId="8" fillId="0" borderId="1" xfId="0" applyNumberFormat="1" applyFont="1" applyBorder="1" applyAlignment="1">
      <alignment horizontal="center" vertical="center"/>
    </xf>
    <xf numFmtId="0" fontId="7" fillId="3" borderId="11" xfId="0" applyFont="1" applyFill="1" applyBorder="1"/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16" fillId="2" borderId="0" xfId="0" applyFont="1" applyFill="1"/>
    <xf numFmtId="2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7" fontId="10" fillId="2" borderId="1" xfId="0" applyNumberFormat="1" applyFont="1" applyFill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168" fontId="10" fillId="2" borderId="1" xfId="0" applyNumberFormat="1" applyFont="1" applyFill="1" applyBorder="1" applyAlignment="1">
      <alignment horizontal="center" vertical="center"/>
    </xf>
    <xf numFmtId="168" fontId="10" fillId="2" borderId="2" xfId="0" applyNumberFormat="1" applyFont="1" applyFill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168" fontId="6" fillId="0" borderId="19" xfId="0" applyNumberFormat="1" applyFont="1" applyBorder="1" applyAlignment="1">
      <alignment horizontal="center" vertical="center"/>
    </xf>
    <xf numFmtId="0" fontId="17" fillId="0" borderId="0" xfId="0" applyFont="1"/>
    <xf numFmtId="0" fontId="17" fillId="2" borderId="0" xfId="0" applyFont="1" applyFill="1"/>
    <xf numFmtId="0" fontId="10" fillId="0" borderId="2" xfId="0" applyFont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166" fontId="6" fillId="2" borderId="2" xfId="0" applyNumberFormat="1" applyFont="1" applyFill="1" applyBorder="1" applyAlignment="1">
      <alignment horizontal="center" vertical="center"/>
    </xf>
    <xf numFmtId="166" fontId="6" fillId="2" borderId="19" xfId="0" applyNumberFormat="1" applyFont="1" applyFill="1" applyBorder="1" applyAlignment="1">
      <alignment horizontal="center" vertical="center"/>
    </xf>
    <xf numFmtId="165" fontId="18" fillId="0" borderId="2" xfId="0" applyNumberFormat="1" applyFont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center" vertical="center"/>
    </xf>
    <xf numFmtId="165" fontId="19" fillId="2" borderId="2" xfId="0" applyNumberFormat="1" applyFont="1" applyFill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/>
    </xf>
    <xf numFmtId="168" fontId="6" fillId="2" borderId="19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/>
    <xf numFmtId="0" fontId="8" fillId="0" borderId="2" xfId="0" applyFont="1" applyBorder="1"/>
    <xf numFmtId="2" fontId="7" fillId="3" borderId="9" xfId="0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 wrapText="1"/>
    </xf>
    <xf numFmtId="2" fontId="22" fillId="3" borderId="9" xfId="0" applyNumberFormat="1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7" fillId="3" borderId="32" xfId="0" applyNumberFormat="1" applyFont="1" applyFill="1" applyBorder="1" applyAlignment="1">
      <alignment horizontal="center" vertical="center"/>
    </xf>
    <xf numFmtId="2" fontId="22" fillId="3" borderId="32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165" fontId="6" fillId="2" borderId="19" xfId="0" applyNumberFormat="1" applyFont="1" applyFill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165" fontId="6" fillId="2" borderId="36" xfId="0" applyNumberFormat="1" applyFont="1" applyFill="1" applyBorder="1" applyAlignment="1">
      <alignment horizontal="center" vertical="center"/>
    </xf>
    <xf numFmtId="165" fontId="8" fillId="2" borderId="37" xfId="0" applyNumberFormat="1" applyFont="1" applyFill="1" applyBorder="1" applyAlignment="1">
      <alignment horizontal="center" vertical="center"/>
    </xf>
    <xf numFmtId="165" fontId="6" fillId="0" borderId="38" xfId="0" applyNumberFormat="1" applyFont="1" applyBorder="1" applyAlignment="1">
      <alignment horizontal="center" vertical="center"/>
    </xf>
    <xf numFmtId="165" fontId="6" fillId="0" borderId="39" xfId="0" applyNumberFormat="1" applyFont="1" applyBorder="1" applyAlignment="1">
      <alignment horizontal="center" vertical="center"/>
    </xf>
    <xf numFmtId="165" fontId="8" fillId="0" borderId="40" xfId="0" applyNumberFormat="1" applyFont="1" applyBorder="1" applyAlignment="1">
      <alignment horizontal="center" vertical="center"/>
    </xf>
    <xf numFmtId="1" fontId="7" fillId="3" borderId="19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165" fontId="8" fillId="4" borderId="37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" fontId="7" fillId="3" borderId="33" xfId="0" applyNumberFormat="1" applyFont="1" applyFill="1" applyBorder="1" applyAlignment="1">
      <alignment horizontal="center" vertical="center" wrapText="1"/>
    </xf>
    <xf numFmtId="1" fontId="7" fillId="3" borderId="34" xfId="0" applyNumberFormat="1" applyFont="1" applyFill="1" applyBorder="1" applyAlignment="1">
      <alignment horizontal="center" vertical="center" wrapText="1"/>
    </xf>
    <xf numFmtId="1" fontId="7" fillId="3" borderId="35" xfId="0" applyNumberFormat="1" applyFont="1" applyFill="1" applyBorder="1" applyAlignment="1">
      <alignment horizontal="center" vertical="center" wrapText="1"/>
    </xf>
    <xf numFmtId="1" fontId="7" fillId="3" borderId="12" xfId="0" applyNumberFormat="1" applyFont="1" applyFill="1" applyBorder="1" applyAlignment="1">
      <alignment horizontal="center" vertical="center" wrapText="1"/>
    </xf>
    <xf numFmtId="1" fontId="7" fillId="3" borderId="19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" fontId="7" fillId="3" borderId="41" xfId="0" applyNumberFormat="1" applyFont="1" applyFill="1" applyBorder="1" applyAlignment="1">
      <alignment horizontal="center" vertical="center" wrapText="1"/>
    </xf>
    <xf numFmtId="1" fontId="7" fillId="3" borderId="42" xfId="0" applyNumberFormat="1" applyFont="1" applyFill="1" applyBorder="1" applyAlignment="1">
      <alignment horizontal="center" vertical="center" wrapText="1"/>
    </xf>
    <xf numFmtId="1" fontId="7" fillId="3" borderId="43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3" fillId="3" borderId="29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</cellXfs>
  <cellStyles count="18">
    <cellStyle name="Normal 2" xfId="4" xr:uid="{AEB5ADE4-B5B1-4CF3-B0FA-21912A75CEF0}"/>
    <cellStyle name="Normal 3" xfId="14" xr:uid="{516BEDD0-486E-4F39-B0E9-D2ED7701BC08}"/>
    <cellStyle name="Normal 4" xfId="15" xr:uid="{71CCB609-B1ED-4705-8605-BA441FA6E700}"/>
    <cellStyle name="Обычный" xfId="0" builtinId="0"/>
    <cellStyle name="Обычный 2" xfId="3" xr:uid="{053CA489-4338-4381-B3AB-C3C0B1A6B945}"/>
    <cellStyle name="Обычный 2 2" xfId="10" xr:uid="{EEF90423-5181-4068-A4F6-055E75508D19}"/>
    <cellStyle name="Обычный 2 3" xfId="16" xr:uid="{7DA5955D-E547-4E26-9378-781BBD85D5A2}"/>
    <cellStyle name="Обычный 3" xfId="2" xr:uid="{BFD732DB-8C3D-4FEA-9E82-F4B10C7C5FBE}"/>
    <cellStyle name="Обычный 4" xfId="1" xr:uid="{5AD9134B-A016-4130-B6CE-593566CD234A}"/>
    <cellStyle name="Обычный 4 2 2 2" xfId="6" xr:uid="{B1F8051A-70FF-4FAA-B0BB-1D536F47A911}"/>
    <cellStyle name="Обычный 4 3" xfId="12" xr:uid="{CC7F5980-3F7B-42D2-B56D-60E365CA5588}"/>
    <cellStyle name="Обычный 4 5" xfId="7" xr:uid="{5F4C0F95-16B9-4AF0-A444-CC8C8367E77C}"/>
    <cellStyle name="Обычный 4 6" xfId="8" xr:uid="{1D6BD4D5-91E5-4F90-B8DA-C9C2BEB299DE}"/>
    <cellStyle name="Обычный 4 8" xfId="9" xr:uid="{9473DD49-0CDE-41AE-9D90-52A53F425525}"/>
    <cellStyle name="Обычный 5" xfId="13" xr:uid="{32156459-315F-4829-8B0D-CE5320234374}"/>
    <cellStyle name="Процентный 2" xfId="11" xr:uid="{570F9B34-B1E1-4812-9F12-C2515BF46F73}"/>
    <cellStyle name="Процентный 3" xfId="17" xr:uid="{39EED5ED-2A75-4F32-BF8B-2CB4A2283214}"/>
    <cellStyle name="Финансовый 2 2" xfId="5" xr:uid="{EB6598F7-DBF6-46E0-BC40-35337EFC60E2}"/>
  </cellStyles>
  <dxfs count="0"/>
  <tableStyles count="0" defaultTableStyle="TableStyleMedium2" defaultPivotStyle="PivotStyleLight16"/>
  <colors>
    <mruColors>
      <color rgb="FFE2EFDA"/>
      <color rgb="FF008C95"/>
      <color rgb="FF0F1D3F"/>
      <color rgb="FFDDEBF7"/>
      <color rgb="FFAEAAA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cntd.ru/document/726571956?ysclid=ml43nu1910688888197" TargetMode="External"/><Relationship Id="rId2" Type="http://schemas.openxmlformats.org/officeDocument/2006/relationships/hyperlink" Target="https://docs.cntd.ru/document/726571956?ysclid=ml43nu1910688888197" TargetMode="External"/><Relationship Id="rId1" Type="http://schemas.openxmlformats.org/officeDocument/2006/relationships/hyperlink" Target="https://docs.cntd.ru/document/726571956?ysclid=ml43nu1910688888197" TargetMode="External"/><Relationship Id="rId4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cntd.ru/document/726571956?ysclid=ml43nu1910688888197" TargetMode="External"/><Relationship Id="rId2" Type="http://schemas.openxmlformats.org/officeDocument/2006/relationships/hyperlink" Target="https://docs.cntd.ru/document/726571956?ysclid=ml43nu1910688888197" TargetMode="External"/><Relationship Id="rId1" Type="http://schemas.openxmlformats.org/officeDocument/2006/relationships/hyperlink" Target="https://docs.cntd.ru/document/726571956?ysclid=ml43nu1910688888197" TargetMode="External"/><Relationship Id="rId4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DC707-B8BE-4BE9-A05B-030C9B97EB90}">
  <sheetPr>
    <tabColor rgb="FFE2EFDA"/>
  </sheetPr>
  <dimension ref="A1"/>
  <sheetViews>
    <sheetView showGridLines="0" workbookViewId="0">
      <selection activeCell="G20" sqref="G20"/>
    </sheetView>
  </sheetViews>
  <sheetFormatPr defaultColWidth="8.8554687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E57EE-AE01-4636-B526-CD1938279FE9}">
  <dimension ref="B1:U42"/>
  <sheetViews>
    <sheetView showGridLines="0" zoomScale="64" zoomScaleNormal="64" workbookViewId="0">
      <selection activeCell="H12" sqref="H12"/>
    </sheetView>
  </sheetViews>
  <sheetFormatPr defaultColWidth="9.140625" defaultRowHeight="14.25"/>
  <cols>
    <col min="1" max="1" width="3.7109375" style="1" customWidth="1"/>
    <col min="2" max="2" width="80.140625" style="2" customWidth="1"/>
    <col min="3" max="3" width="21" style="1" customWidth="1"/>
    <col min="4" max="4" width="22.140625" style="1" customWidth="1"/>
    <col min="5" max="5" width="28" style="1" customWidth="1"/>
    <col min="6" max="6" width="20.85546875" style="1" customWidth="1"/>
    <col min="7" max="7" width="28" style="6" customWidth="1"/>
    <col min="8" max="8" width="19.28515625" style="1" customWidth="1"/>
    <col min="9" max="9" width="20.85546875" style="1" customWidth="1"/>
    <col min="10" max="10" width="26.85546875" style="1" customWidth="1"/>
    <col min="11" max="11" width="25.7109375" style="1" customWidth="1"/>
    <col min="12" max="12" width="19.85546875" style="1" customWidth="1"/>
    <col min="13" max="13" width="18.140625" style="1" customWidth="1"/>
    <col min="14" max="14" width="18.85546875" style="1" customWidth="1"/>
    <col min="15" max="15" width="17" style="1" customWidth="1"/>
    <col min="16" max="16" width="18.85546875" style="1" customWidth="1"/>
    <col min="17" max="17" width="22" style="1" customWidth="1"/>
    <col min="18" max="18" width="18.7109375" style="1" customWidth="1"/>
    <col min="19" max="19" width="25.140625" style="1" customWidth="1"/>
    <col min="20" max="20" width="13.42578125" style="1" customWidth="1"/>
    <col min="21" max="21" width="13.85546875" style="1" customWidth="1"/>
    <col min="22" max="16384" width="9.140625" style="1"/>
  </cols>
  <sheetData>
    <row r="1" spans="2:10">
      <c r="F1" s="102" t="s">
        <v>1</v>
      </c>
    </row>
    <row r="2" spans="2:10" ht="15" thickBot="1"/>
    <row r="3" spans="2:10" ht="14.45" customHeight="1" thickBot="1">
      <c r="B3" s="1" t="s">
        <v>142</v>
      </c>
      <c r="C3" s="110" t="s">
        <v>2</v>
      </c>
      <c r="D3" s="111"/>
      <c r="E3" s="112"/>
      <c r="F3" s="113"/>
      <c r="G3" s="113"/>
    </row>
    <row r="4" spans="2:10" s="5" customFormat="1" ht="30">
      <c r="B4" s="40" t="s">
        <v>3</v>
      </c>
      <c r="C4" s="42">
        <v>2023</v>
      </c>
      <c r="D4" s="42">
        <v>2024</v>
      </c>
      <c r="E4" s="76">
        <v>2025</v>
      </c>
      <c r="F4" s="104" t="s">
        <v>4</v>
      </c>
    </row>
    <row r="5" spans="2:10" s="5" customFormat="1" ht="15">
      <c r="B5" s="41" t="s">
        <v>5</v>
      </c>
      <c r="C5" s="3">
        <f>C25</f>
        <v>21756.622318000002</v>
      </c>
      <c r="D5" s="3">
        <f>D25</f>
        <v>33826.315406299997</v>
      </c>
      <c r="E5" s="77">
        <f>E25</f>
        <v>40782.587884200002</v>
      </c>
      <c r="F5" s="7" t="s">
        <v>6</v>
      </c>
    </row>
    <row r="6" spans="2:10" ht="16.5">
      <c r="B6" s="41" t="s">
        <v>7</v>
      </c>
      <c r="C6" s="3">
        <f>C42</f>
        <v>1308782.6316000002</v>
      </c>
      <c r="D6" s="3">
        <f>G42</f>
        <v>2948035.3402999998</v>
      </c>
      <c r="E6" s="3">
        <f>K42</f>
        <v>4317638.5072999997</v>
      </c>
      <c r="F6" s="7" t="s">
        <v>6</v>
      </c>
      <c r="G6" s="1"/>
    </row>
    <row r="7" spans="2:10" ht="16.5">
      <c r="B7" s="41" t="s">
        <v>8</v>
      </c>
      <c r="C7" s="3">
        <f>D42</f>
        <v>914216.05610000005</v>
      </c>
      <c r="D7" s="3">
        <f>H42</f>
        <v>1664557.2158300004</v>
      </c>
      <c r="E7" s="77">
        <f>L42</f>
        <v>2054968.5912000001</v>
      </c>
      <c r="F7" s="7" t="s">
        <v>6</v>
      </c>
      <c r="G7" s="1"/>
    </row>
    <row r="8" spans="2:10" ht="16.5">
      <c r="B8" s="41" t="s">
        <v>9</v>
      </c>
      <c r="C8" s="3">
        <f>E42</f>
        <v>1406373.7009999999</v>
      </c>
      <c r="D8" s="3">
        <f>I42</f>
        <v>2844740.54446</v>
      </c>
      <c r="E8" s="77">
        <f>M42</f>
        <v>4280092.3092</v>
      </c>
      <c r="F8" s="7" t="s">
        <v>6</v>
      </c>
      <c r="G8" s="1"/>
    </row>
    <row r="9" spans="2:10" ht="15">
      <c r="B9" s="41" t="s">
        <v>10</v>
      </c>
      <c r="C9" s="3">
        <f>SUM(C6:C8)</f>
        <v>3629372.3887</v>
      </c>
      <c r="D9" s="3">
        <f t="shared" ref="D9:E9" si="0">SUM(D6:D8)</f>
        <v>7457333.1005899999</v>
      </c>
      <c r="E9" s="77">
        <f t="shared" si="0"/>
        <v>10652699.4077</v>
      </c>
      <c r="F9" s="7" t="s">
        <v>11</v>
      </c>
      <c r="G9" s="1"/>
    </row>
    <row r="11" spans="2:10">
      <c r="B11" s="1" t="s">
        <v>12</v>
      </c>
      <c r="C11" s="2"/>
      <c r="G11" s="1"/>
      <c r="J11" s="6"/>
    </row>
    <row r="12" spans="2:10" ht="38.450000000000003" customHeight="1">
      <c r="B12" s="84" t="s">
        <v>13</v>
      </c>
      <c r="C12" s="85">
        <v>2023</v>
      </c>
      <c r="D12" s="85">
        <v>2024</v>
      </c>
      <c r="E12" s="85">
        <v>2025</v>
      </c>
      <c r="F12" s="85" t="s">
        <v>14</v>
      </c>
      <c r="G12" s="1"/>
    </row>
    <row r="13" spans="2:10">
      <c r="B13" s="86" t="s">
        <v>15</v>
      </c>
      <c r="C13" s="68">
        <v>0</v>
      </c>
      <c r="D13" s="3">
        <f>1539.581904+1936.314757</f>
        <v>3475.8966609999998</v>
      </c>
      <c r="E13" s="3">
        <f>819.0355553</f>
        <v>819.03555530000006</v>
      </c>
      <c r="F13" s="87">
        <f>AVERAGE(D13:E13)</f>
        <v>2147.4661081499999</v>
      </c>
      <c r="G13" s="1"/>
    </row>
    <row r="14" spans="2:10">
      <c r="B14" s="86" t="s">
        <v>16</v>
      </c>
      <c r="C14" s="68">
        <v>0</v>
      </c>
      <c r="D14" s="3">
        <f>1491.524474+1533.491881</f>
        <v>3025.0163549999997</v>
      </c>
      <c r="E14" s="3">
        <f>1146.2034+2049.665423</f>
        <v>3195.8688229999998</v>
      </c>
      <c r="F14" s="87">
        <f t="shared" ref="F14:F19" si="1">AVERAGE(D14:E14)</f>
        <v>3110.4425889999998</v>
      </c>
      <c r="G14" s="1"/>
    </row>
    <row r="15" spans="2:10">
      <c r="B15" s="86" t="s">
        <v>17</v>
      </c>
      <c r="C15" s="68">
        <v>0</v>
      </c>
      <c r="D15" s="3">
        <f>1160.104594+1359.280983</f>
        <v>2519.385577</v>
      </c>
      <c r="E15" s="3">
        <f>1392.853883+2603.970124</f>
        <v>3996.8240070000002</v>
      </c>
      <c r="F15" s="87">
        <f t="shared" si="1"/>
        <v>3258.1047920000001</v>
      </c>
      <c r="G15" s="1"/>
    </row>
    <row r="16" spans="2:10">
      <c r="B16" s="86" t="s">
        <v>18</v>
      </c>
      <c r="C16" s="68">
        <v>0</v>
      </c>
      <c r="D16" s="3">
        <f>1521.302282+1777.501303</f>
        <v>3298.8035850000001</v>
      </c>
      <c r="E16" s="3">
        <f>1145.618789+2210.978742</f>
        <v>3356.5975309999999</v>
      </c>
      <c r="F16" s="87">
        <f t="shared" si="1"/>
        <v>3327.700558</v>
      </c>
      <c r="G16" s="1"/>
    </row>
    <row r="17" spans="2:21">
      <c r="B17" s="86" t="s">
        <v>19</v>
      </c>
      <c r="C17" s="68">
        <v>0</v>
      </c>
      <c r="D17" s="3">
        <f>618.917638+1616.469139</f>
        <v>2235.3867770000002</v>
      </c>
      <c r="E17" s="3">
        <f>1406.688804+1728.785061</f>
        <v>3135.4738649999999</v>
      </c>
      <c r="F17" s="87">
        <f t="shared" si="1"/>
        <v>2685.4303209999998</v>
      </c>
      <c r="G17" s="1"/>
    </row>
    <row r="18" spans="2:21">
      <c r="B18" s="86" t="s">
        <v>20</v>
      </c>
      <c r="C18" s="68">
        <v>0</v>
      </c>
      <c r="D18" s="3">
        <f>250.5812049+466.4225133</f>
        <v>717.00371819999998</v>
      </c>
      <c r="E18" s="3">
        <f>475.8610739+1295.299537</f>
        <v>1771.1606109000002</v>
      </c>
      <c r="F18" s="87">
        <f t="shared" si="1"/>
        <v>1244.08216455</v>
      </c>
      <c r="G18" s="1"/>
    </row>
    <row r="19" spans="2:21">
      <c r="B19" s="86" t="s">
        <v>21</v>
      </c>
      <c r="C19" s="68">
        <v>0</v>
      </c>
      <c r="D19" s="3">
        <f>1176.034514+2183.635047</f>
        <v>3359.6695610000002</v>
      </c>
      <c r="E19" s="3">
        <f>1612.211392+2328.227097</f>
        <v>3940.4384890000001</v>
      </c>
      <c r="F19" s="87">
        <f t="shared" si="1"/>
        <v>3650.0540250000004</v>
      </c>
      <c r="G19" s="1"/>
    </row>
    <row r="20" spans="2:21">
      <c r="B20" s="86" t="s">
        <v>22</v>
      </c>
      <c r="C20" s="3">
        <f>2119.577957+2306.956284</f>
        <v>4426.5342409999994</v>
      </c>
      <c r="D20" s="3">
        <f>1303.449408+2131.730811</f>
        <v>3435.1802189999999</v>
      </c>
      <c r="E20" s="3">
        <f>1633.977259+2407.474611</f>
        <v>4041.4518699999999</v>
      </c>
      <c r="F20" s="87">
        <f>AVERAGE(C20:E20)</f>
        <v>3967.7221100000002</v>
      </c>
      <c r="G20" s="1"/>
    </row>
    <row r="21" spans="2:21">
      <c r="B21" s="86" t="s">
        <v>23</v>
      </c>
      <c r="C21" s="3">
        <f>2149.426244+2309.673682</f>
        <v>4459.0999260000008</v>
      </c>
      <c r="D21" s="3">
        <f>1184.116804+1373.82888</f>
        <v>2557.9456840000003</v>
      </c>
      <c r="E21" s="3">
        <f>1607.033489+2378.893698</f>
        <v>3985.9271869999998</v>
      </c>
      <c r="F21" s="87">
        <f t="shared" ref="F21:F24" si="2">AVERAGE(C21:E21)</f>
        <v>3667.6575990000001</v>
      </c>
      <c r="G21" s="1"/>
    </row>
    <row r="22" spans="2:21">
      <c r="B22" s="86" t="s">
        <v>24</v>
      </c>
      <c r="C22" s="3">
        <f>1890.295267+2183.272358</f>
        <v>4073.5676250000001</v>
      </c>
      <c r="D22" s="3">
        <f>1272.3029+2404.49588</f>
        <v>3676.7987800000001</v>
      </c>
      <c r="E22" s="3">
        <f>1630.251622+2581.013411</f>
        <v>4211.2650329999997</v>
      </c>
      <c r="F22" s="87">
        <f t="shared" si="2"/>
        <v>3987.2104793333333</v>
      </c>
      <c r="G22" s="1"/>
    </row>
    <row r="23" spans="2:21">
      <c r="B23" s="86" t="s">
        <v>25</v>
      </c>
      <c r="C23" s="3">
        <f>2100.236818+2225.05297</f>
        <v>4325.289788</v>
      </c>
      <c r="D23" s="3">
        <f>952.6889301+1971.795162</f>
        <v>2924.4840921</v>
      </c>
      <c r="E23" s="3">
        <f>1562.346267+2509.349573</f>
        <v>4071.6958399999999</v>
      </c>
      <c r="F23" s="87">
        <f t="shared" si="2"/>
        <v>3773.8232400333331</v>
      </c>
      <c r="G23" s="1"/>
    </row>
    <row r="24" spans="2:21">
      <c r="B24" s="86" t="s">
        <v>26</v>
      </c>
      <c r="C24" s="3">
        <f>2062.175421+2409.955317</f>
        <v>4472.1307379999998</v>
      </c>
      <c r="D24" s="3">
        <f>926.947725+1673.796672</f>
        <v>2600.7443969999999</v>
      </c>
      <c r="E24" s="3">
        <f>1580.757052+2676.092021</f>
        <v>4256.8490729999994</v>
      </c>
      <c r="F24" s="87">
        <f t="shared" si="2"/>
        <v>3776.574736</v>
      </c>
      <c r="G24" s="1"/>
    </row>
    <row r="25" spans="2:21" ht="15">
      <c r="B25" s="84" t="s">
        <v>27</v>
      </c>
      <c r="C25" s="3">
        <f>SUM(C13:C24)</f>
        <v>21756.622318000002</v>
      </c>
      <c r="D25" s="3">
        <f t="shared" ref="D25" si="3">SUM(D13:D24)</f>
        <v>33826.315406299997</v>
      </c>
      <c r="E25" s="3">
        <f>SUM(E13:E24)</f>
        <v>40782.587884200002</v>
      </c>
      <c r="F25" s="3">
        <f t="shared" ref="F25" si="4">SUM(F13:F24)</f>
        <v>38596.26872206667</v>
      </c>
      <c r="G25" s="1"/>
    </row>
    <row r="27" spans="2:21" ht="15" thickBot="1">
      <c r="B27" s="1" t="s">
        <v>28</v>
      </c>
      <c r="C27" s="2"/>
      <c r="G27" s="1"/>
    </row>
    <row r="28" spans="2:21" ht="30">
      <c r="B28" s="89" t="s">
        <v>13</v>
      </c>
      <c r="C28" s="105">
        <v>2023</v>
      </c>
      <c r="D28" s="106"/>
      <c r="E28" s="106"/>
      <c r="F28" s="107"/>
      <c r="G28" s="114">
        <v>2024</v>
      </c>
      <c r="H28" s="115"/>
      <c r="I28" s="115"/>
      <c r="J28" s="116"/>
      <c r="K28" s="105">
        <v>2025</v>
      </c>
      <c r="L28" s="106"/>
      <c r="M28" s="106"/>
      <c r="N28" s="107"/>
      <c r="O28" s="108" t="s">
        <v>29</v>
      </c>
      <c r="P28" s="108"/>
      <c r="Q28" s="108"/>
      <c r="R28" s="109"/>
      <c r="S28" s="101" t="s">
        <v>30</v>
      </c>
      <c r="T28" s="101" t="s">
        <v>31</v>
      </c>
      <c r="U28" s="101" t="s">
        <v>32</v>
      </c>
    </row>
    <row r="29" spans="2:21" ht="53.1" customHeight="1">
      <c r="B29" s="89" t="s">
        <v>33</v>
      </c>
      <c r="C29" s="94" t="s">
        <v>139</v>
      </c>
      <c r="D29" s="88" t="s">
        <v>138</v>
      </c>
      <c r="E29" s="88" t="s">
        <v>34</v>
      </c>
      <c r="F29" s="95" t="s">
        <v>27</v>
      </c>
      <c r="G29" s="94" t="s">
        <v>139</v>
      </c>
      <c r="H29" s="88" t="s">
        <v>138</v>
      </c>
      <c r="I29" s="88" t="s">
        <v>34</v>
      </c>
      <c r="J29" s="95" t="s">
        <v>27</v>
      </c>
      <c r="K29" s="94" t="s">
        <v>139</v>
      </c>
      <c r="L29" s="88" t="s">
        <v>138</v>
      </c>
      <c r="M29" s="88" t="s">
        <v>34</v>
      </c>
      <c r="N29" s="95" t="s">
        <v>27</v>
      </c>
      <c r="O29" s="91" t="s">
        <v>139</v>
      </c>
      <c r="P29" s="88" t="s">
        <v>138</v>
      </c>
      <c r="Q29" s="88" t="s">
        <v>34</v>
      </c>
      <c r="R29" s="95" t="s">
        <v>27</v>
      </c>
      <c r="S29" s="95" t="s">
        <v>27</v>
      </c>
      <c r="T29" s="95" t="s">
        <v>27</v>
      </c>
      <c r="U29" s="95" t="s">
        <v>27</v>
      </c>
    </row>
    <row r="30" spans="2:21" ht="15">
      <c r="B30" s="90" t="s">
        <v>15</v>
      </c>
      <c r="C30" s="96">
        <v>0</v>
      </c>
      <c r="D30" s="68">
        <v>0</v>
      </c>
      <c r="E30" s="68">
        <v>0</v>
      </c>
      <c r="F30" s="97">
        <f>SUM(C30:E30)</f>
        <v>0</v>
      </c>
      <c r="G30" s="96">
        <v>303667.31449999998</v>
      </c>
      <c r="H30" s="68">
        <v>200884.23920000001</v>
      </c>
      <c r="I30" s="68">
        <v>341890.50650000002</v>
      </c>
      <c r="J30" s="97">
        <f>SUM(G30:I30)</f>
        <v>846442.06019999995</v>
      </c>
      <c r="K30" s="96">
        <v>286854.89919999999</v>
      </c>
      <c r="L30" s="68">
        <v>157264.8787</v>
      </c>
      <c r="M30" s="68">
        <v>297691.53450000001</v>
      </c>
      <c r="N30" s="97">
        <f>SUM(K30:M30)</f>
        <v>741811.31239999994</v>
      </c>
      <c r="O30" s="92">
        <v>367139.95079999999</v>
      </c>
      <c r="P30" s="68">
        <v>185721.49170000001</v>
      </c>
      <c r="Q30" s="68">
        <v>336165.00750000001</v>
      </c>
      <c r="R30" s="97">
        <f>SUM(O30:Q30)</f>
        <v>889026.45</v>
      </c>
      <c r="S30" s="103">
        <f>R30</f>
        <v>889026.45</v>
      </c>
      <c r="T30" s="103">
        <f>AVERAGE(N30,J30,R30)</f>
        <v>825759.9408666665</v>
      </c>
      <c r="U30" s="103">
        <v>0</v>
      </c>
    </row>
    <row r="31" spans="2:21" ht="15">
      <c r="B31" s="90" t="s">
        <v>16</v>
      </c>
      <c r="C31" s="96">
        <v>0</v>
      </c>
      <c r="D31" s="68">
        <v>0</v>
      </c>
      <c r="E31" s="68">
        <v>0</v>
      </c>
      <c r="F31" s="97">
        <f t="shared" ref="F31:F41" si="5">SUM(C31:E31)</f>
        <v>0</v>
      </c>
      <c r="G31" s="96">
        <v>177207.64499999999</v>
      </c>
      <c r="H31" s="68">
        <v>105903.0007</v>
      </c>
      <c r="I31" s="68">
        <v>177776.4228</v>
      </c>
      <c r="J31" s="97">
        <f t="shared" ref="J31:J41" si="6">SUM(G31:I31)</f>
        <v>460887.06849999999</v>
      </c>
      <c r="K31" s="96">
        <v>248243.56330000001</v>
      </c>
      <c r="L31" s="68">
        <v>156154.1856</v>
      </c>
      <c r="M31" s="68">
        <v>272946.24599999998</v>
      </c>
      <c r="N31" s="97">
        <f t="shared" ref="N31:N41" si="7">SUM(K31:M31)</f>
        <v>677343.99490000005</v>
      </c>
      <c r="O31" s="92">
        <v>329186.48479999998</v>
      </c>
      <c r="P31" s="68">
        <v>167766.61809999999</v>
      </c>
      <c r="Q31" s="68">
        <v>283230.6298</v>
      </c>
      <c r="R31" s="97">
        <f t="shared" ref="R31:R41" si="8">SUM(O31:Q31)</f>
        <v>780183.73269999993</v>
      </c>
      <c r="S31" s="103">
        <f t="shared" ref="S31:S35" si="9">R31</f>
        <v>780183.73269999993</v>
      </c>
      <c r="T31" s="103">
        <f>AVERAGE(N31,J31,R31)</f>
        <v>639471.59869999997</v>
      </c>
      <c r="U31" s="103">
        <v>0</v>
      </c>
    </row>
    <row r="32" spans="2:21" ht="15">
      <c r="B32" s="90" t="s">
        <v>17</v>
      </c>
      <c r="C32" s="96">
        <v>0</v>
      </c>
      <c r="D32" s="68">
        <v>0</v>
      </c>
      <c r="E32" s="68">
        <v>0</v>
      </c>
      <c r="F32" s="97">
        <f t="shared" si="5"/>
        <v>0</v>
      </c>
      <c r="G32" s="96">
        <v>196735.8027</v>
      </c>
      <c r="H32" s="68">
        <v>87525.919030000005</v>
      </c>
      <c r="I32" s="68">
        <v>163486.07740000001</v>
      </c>
      <c r="J32" s="97">
        <f t="shared" si="6"/>
        <v>447747.79913</v>
      </c>
      <c r="K32" s="96">
        <v>302384.5612</v>
      </c>
      <c r="L32" s="68">
        <v>150882.23749999999</v>
      </c>
      <c r="M32" s="68">
        <v>315391.99859999999</v>
      </c>
      <c r="N32" s="97">
        <f t="shared" si="7"/>
        <v>768658.79729999998</v>
      </c>
      <c r="O32" s="92">
        <f>AVERAGE(G32,K32)</f>
        <v>249560.18195</v>
      </c>
      <c r="P32" s="92">
        <f>AVERAGE(H32,L32)</f>
        <v>119204.07826499999</v>
      </c>
      <c r="Q32" s="92">
        <f>AVERAGE(I32,M32)</f>
        <v>239439.038</v>
      </c>
      <c r="R32" s="103">
        <f>SUM(O32:Q32)</f>
        <v>608203.29821499996</v>
      </c>
      <c r="S32" s="103">
        <f t="shared" si="9"/>
        <v>608203.29821499996</v>
      </c>
      <c r="T32" s="103">
        <f>R32</f>
        <v>608203.29821499996</v>
      </c>
      <c r="U32" s="103">
        <v>0</v>
      </c>
    </row>
    <row r="33" spans="2:21" ht="15">
      <c r="B33" s="90" t="s">
        <v>18</v>
      </c>
      <c r="C33" s="96">
        <v>0</v>
      </c>
      <c r="D33" s="68">
        <v>0</v>
      </c>
      <c r="E33" s="68">
        <v>0</v>
      </c>
      <c r="F33" s="97">
        <f t="shared" si="5"/>
        <v>0</v>
      </c>
      <c r="G33" s="96">
        <v>186767.38879999999</v>
      </c>
      <c r="H33" s="68">
        <v>119658.1004</v>
      </c>
      <c r="I33" s="68">
        <v>202774.31099999999</v>
      </c>
      <c r="J33" s="97">
        <f t="shared" si="6"/>
        <v>509199.80019999994</v>
      </c>
      <c r="K33" s="96">
        <v>295668.83980000002</v>
      </c>
      <c r="L33" s="68">
        <v>147917.7113</v>
      </c>
      <c r="M33" s="68">
        <v>300043.86430000002</v>
      </c>
      <c r="N33" s="97">
        <f t="shared" si="7"/>
        <v>743630.41540000006</v>
      </c>
      <c r="O33" s="92">
        <f t="shared" ref="O33:O36" si="10">AVERAGE(G33,K33)</f>
        <v>241218.11430000002</v>
      </c>
      <c r="P33" s="92">
        <f t="shared" ref="P33:Q36" si="11">AVERAGE(H33,L33)</f>
        <v>133787.90584999998</v>
      </c>
      <c r="Q33" s="92">
        <f>AVERAGE(I33,M33)</f>
        <v>251409.08765</v>
      </c>
      <c r="R33" s="103">
        <f t="shared" si="8"/>
        <v>626415.1078</v>
      </c>
      <c r="S33" s="103">
        <f t="shared" si="9"/>
        <v>626415.1078</v>
      </c>
      <c r="T33" s="103">
        <f t="shared" ref="T33:T41" si="12">R33</f>
        <v>626415.1078</v>
      </c>
      <c r="U33" s="103">
        <v>0</v>
      </c>
    </row>
    <row r="34" spans="2:21" ht="15">
      <c r="B34" s="90" t="s">
        <v>19</v>
      </c>
      <c r="C34" s="96">
        <v>0</v>
      </c>
      <c r="D34" s="68">
        <v>0</v>
      </c>
      <c r="E34" s="68">
        <v>0</v>
      </c>
      <c r="F34" s="97">
        <f t="shared" si="5"/>
        <v>0</v>
      </c>
      <c r="G34" s="96">
        <v>186682.96</v>
      </c>
      <c r="H34" s="68">
        <v>119594.6961</v>
      </c>
      <c r="I34" s="68">
        <v>219661.51070000001</v>
      </c>
      <c r="J34" s="97">
        <f t="shared" si="6"/>
        <v>525939.16680000001</v>
      </c>
      <c r="K34" s="96">
        <v>489157.84230000002</v>
      </c>
      <c r="L34" s="68">
        <v>159959.45980000001</v>
      </c>
      <c r="M34" s="68">
        <v>341723.51730000001</v>
      </c>
      <c r="N34" s="97">
        <f t="shared" si="7"/>
        <v>990840.81939999992</v>
      </c>
      <c r="O34" s="92">
        <f t="shared" si="10"/>
        <v>337920.40114999999</v>
      </c>
      <c r="P34" s="92">
        <f t="shared" si="11"/>
        <v>139777.07795000001</v>
      </c>
      <c r="Q34" s="92">
        <f t="shared" si="11"/>
        <v>280692.51400000002</v>
      </c>
      <c r="R34" s="103">
        <f t="shared" si="8"/>
        <v>758389.99310000008</v>
      </c>
      <c r="S34" s="103">
        <f t="shared" si="9"/>
        <v>758389.99310000008</v>
      </c>
      <c r="T34" s="103">
        <f t="shared" si="12"/>
        <v>758389.99310000008</v>
      </c>
      <c r="U34" s="103">
        <v>0</v>
      </c>
    </row>
    <row r="35" spans="2:21" ht="15">
      <c r="B35" s="90" t="s">
        <v>20</v>
      </c>
      <c r="C35" s="96">
        <v>0</v>
      </c>
      <c r="D35" s="68">
        <v>0</v>
      </c>
      <c r="E35" s="68">
        <v>0</v>
      </c>
      <c r="F35" s="97">
        <f t="shared" si="5"/>
        <v>0</v>
      </c>
      <c r="G35" s="96">
        <v>284684.89529999997</v>
      </c>
      <c r="H35" s="68">
        <v>104362.13</v>
      </c>
      <c r="I35" s="68">
        <v>56975.665560000001</v>
      </c>
      <c r="J35" s="97">
        <f t="shared" si="6"/>
        <v>446022.69085999997</v>
      </c>
      <c r="K35" s="96">
        <v>518214.24650000001</v>
      </c>
      <c r="L35" s="68">
        <v>180005.71410000001</v>
      </c>
      <c r="M35" s="68">
        <v>584516.44929999998</v>
      </c>
      <c r="N35" s="97">
        <f t="shared" si="7"/>
        <v>1282736.4098999999</v>
      </c>
      <c r="O35" s="92">
        <f t="shared" si="10"/>
        <v>401449.57089999999</v>
      </c>
      <c r="P35" s="92">
        <f t="shared" si="11"/>
        <v>142183.92204999999</v>
      </c>
      <c r="Q35" s="92">
        <f t="shared" si="11"/>
        <v>320746.05742999999</v>
      </c>
      <c r="R35" s="103">
        <f t="shared" si="8"/>
        <v>864379.55037999991</v>
      </c>
      <c r="S35" s="103">
        <f t="shared" si="9"/>
        <v>864379.55037999991</v>
      </c>
      <c r="T35" s="103">
        <f t="shared" si="12"/>
        <v>864379.55037999991</v>
      </c>
      <c r="U35" s="103">
        <v>0</v>
      </c>
    </row>
    <row r="36" spans="2:21" ht="15">
      <c r="B36" s="90" t="s">
        <v>21</v>
      </c>
      <c r="C36" s="96">
        <v>0</v>
      </c>
      <c r="D36" s="68">
        <v>0</v>
      </c>
      <c r="E36" s="68">
        <v>0</v>
      </c>
      <c r="F36" s="97">
        <f t="shared" si="5"/>
        <v>0</v>
      </c>
      <c r="G36" s="96">
        <v>265337.97710000002</v>
      </c>
      <c r="H36" s="68">
        <v>144234.47229999999</v>
      </c>
      <c r="I36" s="68">
        <v>266427.39980000001</v>
      </c>
      <c r="J36" s="97">
        <f t="shared" si="6"/>
        <v>675999.84920000006</v>
      </c>
      <c r="K36" s="96">
        <v>398786.84769999998</v>
      </c>
      <c r="L36" s="68">
        <v>186022.7611</v>
      </c>
      <c r="M36" s="68">
        <v>435708.29430000001</v>
      </c>
      <c r="N36" s="97">
        <f t="shared" si="7"/>
        <v>1020517.9031</v>
      </c>
      <c r="O36" s="92">
        <f t="shared" si="10"/>
        <v>332062.41240000003</v>
      </c>
      <c r="P36" s="92">
        <f t="shared" si="11"/>
        <v>165128.61670000001</v>
      </c>
      <c r="Q36" s="92">
        <f t="shared" si="11"/>
        <v>351067.84704999998</v>
      </c>
      <c r="R36" s="103">
        <f t="shared" si="8"/>
        <v>848258.87615000003</v>
      </c>
      <c r="S36" s="103">
        <f>R36/31*9</f>
        <v>246268.70597903227</v>
      </c>
      <c r="T36" s="103">
        <f t="shared" si="12"/>
        <v>848258.87615000003</v>
      </c>
      <c r="U36" s="103">
        <v>0</v>
      </c>
    </row>
    <row r="37" spans="2:21" ht="15">
      <c r="B37" s="90" t="s">
        <v>22</v>
      </c>
      <c r="C37" s="96">
        <v>264013.06459999998</v>
      </c>
      <c r="D37" s="68">
        <v>179282.0263</v>
      </c>
      <c r="E37" s="68">
        <v>290296.04820000002</v>
      </c>
      <c r="F37" s="97">
        <f t="shared" si="5"/>
        <v>733591.13910000003</v>
      </c>
      <c r="G37" s="96">
        <v>280304.38419999997</v>
      </c>
      <c r="H37" s="68">
        <v>166941.5968</v>
      </c>
      <c r="I37" s="68">
        <v>319017.19459999999</v>
      </c>
      <c r="J37" s="97">
        <f t="shared" si="6"/>
        <v>766263.17559999996</v>
      </c>
      <c r="K37" s="96">
        <v>340603.59639999998</v>
      </c>
      <c r="L37" s="68">
        <v>186013.66250000001</v>
      </c>
      <c r="M37" s="68">
        <v>316825.49790000002</v>
      </c>
      <c r="N37" s="97">
        <f t="shared" si="7"/>
        <v>843442.75680000009</v>
      </c>
      <c r="O37" s="92">
        <f>AVERAGE(C37,G37,K37)</f>
        <v>294973.68173333327</v>
      </c>
      <c r="P37" s="92">
        <f>AVERAGE(D37,H37,L37)</f>
        <v>177412.42853333332</v>
      </c>
      <c r="Q37" s="92">
        <f>AVERAGE(E37,I37,M37)</f>
        <v>308712.91356666666</v>
      </c>
      <c r="R37" s="103">
        <f>SUM(O37:Q37)</f>
        <v>781099.02383333328</v>
      </c>
      <c r="S37" s="103">
        <v>0</v>
      </c>
      <c r="T37" s="103">
        <f t="shared" si="12"/>
        <v>781099.02383333328</v>
      </c>
      <c r="U37" s="103">
        <v>0</v>
      </c>
    </row>
    <row r="38" spans="2:21" ht="15">
      <c r="B38" s="90" t="s">
        <v>23</v>
      </c>
      <c r="C38" s="96">
        <v>250930.59280000001</v>
      </c>
      <c r="D38" s="68">
        <v>170380.1208</v>
      </c>
      <c r="E38" s="68">
        <v>276470.97489999997</v>
      </c>
      <c r="F38" s="97">
        <f t="shared" si="5"/>
        <v>697781.68849999993</v>
      </c>
      <c r="G38" s="96">
        <v>254994.46460000001</v>
      </c>
      <c r="H38" s="68">
        <v>149487.8026</v>
      </c>
      <c r="I38" s="68">
        <v>265936.85460000002</v>
      </c>
      <c r="J38" s="97">
        <f t="shared" si="6"/>
        <v>670419.12180000008</v>
      </c>
      <c r="K38" s="96">
        <v>329003.08889999997</v>
      </c>
      <c r="L38" s="68">
        <v>179986.08230000001</v>
      </c>
      <c r="M38" s="68">
        <v>324194.27439999999</v>
      </c>
      <c r="N38" s="97">
        <f t="shared" si="7"/>
        <v>833183.44559999998</v>
      </c>
      <c r="O38" s="92">
        <f t="shared" ref="O38:O41" si="13">AVERAGE(C38,G38,K38)</f>
        <v>278309.38209999999</v>
      </c>
      <c r="P38" s="92">
        <f t="shared" ref="P38:Q41" si="14">AVERAGE(D38,H38,L38)</f>
        <v>166618.0019</v>
      </c>
      <c r="Q38" s="92">
        <f t="shared" si="14"/>
        <v>288867.36796666664</v>
      </c>
      <c r="R38" s="103">
        <f t="shared" si="8"/>
        <v>733794.75196666666</v>
      </c>
      <c r="S38" s="103">
        <v>0</v>
      </c>
      <c r="T38" s="103">
        <f t="shared" si="12"/>
        <v>733794.75196666666</v>
      </c>
      <c r="U38" s="103">
        <v>0</v>
      </c>
    </row>
    <row r="39" spans="2:21" ht="15">
      <c r="B39" s="90" t="s">
        <v>24</v>
      </c>
      <c r="C39" s="96">
        <v>268697.7303</v>
      </c>
      <c r="D39" s="68">
        <v>181934.0575</v>
      </c>
      <c r="E39" s="68">
        <v>266376.13</v>
      </c>
      <c r="F39" s="97">
        <f t="shared" si="5"/>
        <v>717007.91779999994</v>
      </c>
      <c r="G39" s="96">
        <v>305479.46740000002</v>
      </c>
      <c r="H39" s="68">
        <v>178482.74</v>
      </c>
      <c r="I39" s="68">
        <v>312160.0258</v>
      </c>
      <c r="J39" s="97">
        <f t="shared" si="6"/>
        <v>796122.23320000002</v>
      </c>
      <c r="K39" s="96">
        <v>340046.40130000003</v>
      </c>
      <c r="L39" s="68">
        <v>185624.02170000001</v>
      </c>
      <c r="M39" s="68">
        <v>326983.54320000001</v>
      </c>
      <c r="N39" s="97">
        <f t="shared" si="7"/>
        <v>852653.96620000014</v>
      </c>
      <c r="O39" s="92">
        <f t="shared" si="13"/>
        <v>304741.19966666668</v>
      </c>
      <c r="P39" s="92">
        <f t="shared" si="14"/>
        <v>182013.60640000002</v>
      </c>
      <c r="Q39" s="92">
        <f t="shared" si="14"/>
        <v>301839.89966666669</v>
      </c>
      <c r="R39" s="103">
        <f t="shared" si="8"/>
        <v>788594.70573333348</v>
      </c>
      <c r="S39" s="103">
        <v>0</v>
      </c>
      <c r="T39" s="103">
        <f t="shared" si="12"/>
        <v>788594.70573333348</v>
      </c>
      <c r="U39" s="103">
        <v>0</v>
      </c>
    </row>
    <row r="40" spans="2:21" ht="15">
      <c r="B40" s="90" t="s">
        <v>25</v>
      </c>
      <c r="C40" s="96">
        <v>272941.40470000001</v>
      </c>
      <c r="D40" s="68">
        <v>189103.6588</v>
      </c>
      <c r="E40" s="68">
        <v>290579.24180000002</v>
      </c>
      <c r="F40" s="97">
        <f t="shared" si="5"/>
        <v>752624.30530000012</v>
      </c>
      <c r="G40" s="96">
        <v>251443.0031</v>
      </c>
      <c r="H40" s="68">
        <v>147463.01120000001</v>
      </c>
      <c r="I40" s="68">
        <v>252534.21539999999</v>
      </c>
      <c r="J40" s="97">
        <f t="shared" si="6"/>
        <v>651440.22970000003</v>
      </c>
      <c r="K40" s="96">
        <v>391451.45569999999</v>
      </c>
      <c r="L40" s="68">
        <v>179573.8204</v>
      </c>
      <c r="M40" s="68">
        <v>321657.94799999997</v>
      </c>
      <c r="N40" s="97">
        <f t="shared" si="7"/>
        <v>892683.22409999999</v>
      </c>
      <c r="O40" s="92">
        <f t="shared" si="13"/>
        <v>305278.62116666668</v>
      </c>
      <c r="P40" s="92">
        <f t="shared" si="14"/>
        <v>172046.83013333334</v>
      </c>
      <c r="Q40" s="92">
        <f t="shared" si="14"/>
        <v>288257.1350666667</v>
      </c>
      <c r="R40" s="103">
        <f t="shared" si="8"/>
        <v>765582.58636666671</v>
      </c>
      <c r="S40" s="103">
        <v>0</v>
      </c>
      <c r="T40" s="103">
        <f t="shared" si="12"/>
        <v>765582.58636666671</v>
      </c>
      <c r="U40" s="103">
        <v>0</v>
      </c>
    </row>
    <row r="41" spans="2:21" ht="15">
      <c r="B41" s="90" t="s">
        <v>26</v>
      </c>
      <c r="C41" s="96">
        <v>252199.83919999999</v>
      </c>
      <c r="D41" s="68">
        <v>193516.19270000001</v>
      </c>
      <c r="E41" s="68">
        <v>282651.30609999999</v>
      </c>
      <c r="F41" s="97">
        <f t="shared" si="5"/>
        <v>728367.33799999999</v>
      </c>
      <c r="G41" s="96">
        <v>254730.03760000001</v>
      </c>
      <c r="H41" s="68">
        <v>140019.50750000001</v>
      </c>
      <c r="I41" s="68">
        <v>266100.3603</v>
      </c>
      <c r="J41" s="97">
        <f t="shared" si="6"/>
        <v>660849.90540000005</v>
      </c>
      <c r="K41" s="96">
        <v>377223.16499999998</v>
      </c>
      <c r="L41" s="68">
        <v>185564.05619999999</v>
      </c>
      <c r="M41" s="68">
        <v>442409.14140000002</v>
      </c>
      <c r="N41" s="97">
        <f t="shared" si="7"/>
        <v>1005196.3626000001</v>
      </c>
      <c r="O41" s="92">
        <f t="shared" si="13"/>
        <v>294717.68060000002</v>
      </c>
      <c r="P41" s="92">
        <f t="shared" si="14"/>
        <v>173033.25213333333</v>
      </c>
      <c r="Q41" s="92">
        <f>AVERAGE(E41,I41,M41)</f>
        <v>330386.93593333336</v>
      </c>
      <c r="R41" s="103">
        <f t="shared" si="8"/>
        <v>798137.86866666668</v>
      </c>
      <c r="S41" s="103">
        <v>0</v>
      </c>
      <c r="T41" s="103">
        <f t="shared" si="12"/>
        <v>798137.86866666668</v>
      </c>
      <c r="U41" s="103">
        <v>0</v>
      </c>
    </row>
    <row r="42" spans="2:21" ht="15.75" thickBot="1">
      <c r="B42" s="89" t="s">
        <v>27</v>
      </c>
      <c r="C42" s="98">
        <f>SUM(C30:C41)</f>
        <v>1308782.6316000002</v>
      </c>
      <c r="D42" s="99">
        <f t="shared" ref="D42:U42" si="15">SUM(D30:D41)</f>
        <v>914216.05610000005</v>
      </c>
      <c r="E42" s="99">
        <f t="shared" si="15"/>
        <v>1406373.7009999999</v>
      </c>
      <c r="F42" s="100">
        <f t="shared" si="15"/>
        <v>3629372.3887</v>
      </c>
      <c r="G42" s="98">
        <f t="shared" si="15"/>
        <v>2948035.3402999998</v>
      </c>
      <c r="H42" s="99">
        <f t="shared" si="15"/>
        <v>1664557.2158300004</v>
      </c>
      <c r="I42" s="99">
        <f t="shared" si="15"/>
        <v>2844740.54446</v>
      </c>
      <c r="J42" s="100">
        <f t="shared" si="15"/>
        <v>7457333.1005899999</v>
      </c>
      <c r="K42" s="98">
        <f t="shared" si="15"/>
        <v>4317638.5072999997</v>
      </c>
      <c r="L42" s="99">
        <f t="shared" si="15"/>
        <v>2054968.5912000001</v>
      </c>
      <c r="M42" s="99">
        <f t="shared" si="15"/>
        <v>4280092.3092</v>
      </c>
      <c r="N42" s="100">
        <f t="shared" si="15"/>
        <v>10652699.4077</v>
      </c>
      <c r="O42" s="93">
        <f t="shared" si="15"/>
        <v>3736557.6815666668</v>
      </c>
      <c r="P42" s="3">
        <f t="shared" si="15"/>
        <v>1924693.8297149998</v>
      </c>
      <c r="Q42" s="3">
        <f t="shared" si="15"/>
        <v>3580814.4336299999</v>
      </c>
      <c r="R42" s="100">
        <f>SUM(R30:R41)</f>
        <v>9242065.9449116681</v>
      </c>
      <c r="S42" s="100">
        <f t="shared" si="15"/>
        <v>4772866.838174032</v>
      </c>
      <c r="T42" s="97">
        <f>SUM(T30:T41)</f>
        <v>9038087.3017783333</v>
      </c>
      <c r="U42" s="100">
        <f t="shared" si="15"/>
        <v>0</v>
      </c>
    </row>
  </sheetData>
  <mergeCells count="6">
    <mergeCell ref="K28:N28"/>
    <mergeCell ref="O28:R28"/>
    <mergeCell ref="C3:E3"/>
    <mergeCell ref="F3:G3"/>
    <mergeCell ref="C28:F28"/>
    <mergeCell ref="G28:J28"/>
  </mergeCells>
  <phoneticPr fontId="9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614D-50AB-4EFB-B6AF-4C6D30650D23}">
  <sheetPr>
    <tabColor rgb="FFE2EFDA"/>
  </sheetPr>
  <dimension ref="A1"/>
  <sheetViews>
    <sheetView showGridLines="0" workbookViewId="0">
      <selection activeCell="I43" sqref="I43"/>
    </sheetView>
  </sheetViews>
  <sheetFormatPr defaultColWidth="8.8554687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B44C-91F3-419A-8F5D-333683611D59}">
  <dimension ref="B1:V86"/>
  <sheetViews>
    <sheetView showGridLines="0" zoomScale="70" zoomScaleNormal="70" workbookViewId="0">
      <pane xSplit="2" topLeftCell="C1" activePane="topRight" state="frozen"/>
      <selection pane="topRight" activeCell="R5" sqref="R5"/>
    </sheetView>
  </sheetViews>
  <sheetFormatPr defaultColWidth="12.42578125" defaultRowHeight="15.75"/>
  <cols>
    <col min="1" max="1" width="2.7109375" style="11" customWidth="1"/>
    <col min="2" max="2" width="34.85546875" style="11" customWidth="1"/>
    <col min="3" max="3" width="20.5703125" style="11" customWidth="1"/>
    <col min="4" max="17" width="12.42578125" style="11"/>
    <col min="18" max="18" width="31.5703125" style="11" customWidth="1"/>
    <col min="19" max="20" width="26.42578125" style="11" customWidth="1"/>
    <col min="21" max="21" width="27.85546875" customWidth="1"/>
    <col min="22" max="16384" width="12.42578125" style="11"/>
  </cols>
  <sheetData>
    <row r="1" spans="2:22">
      <c r="J1" s="140" t="s">
        <v>1</v>
      </c>
      <c r="K1" s="140"/>
    </row>
    <row r="2" spans="2:22" ht="16.5" thickBot="1">
      <c r="B2" s="11" t="s">
        <v>35</v>
      </c>
      <c r="M2" s="5" t="s">
        <v>36</v>
      </c>
      <c r="N2" s="5"/>
      <c r="O2" s="5"/>
      <c r="P2" s="5"/>
      <c r="R2" s="5" t="s">
        <v>37</v>
      </c>
      <c r="S2" s="5"/>
      <c r="T2" s="5"/>
      <c r="V2" s="5"/>
    </row>
    <row r="3" spans="2:22" ht="19.5" thickBot="1">
      <c r="B3" s="127">
        <v>2023</v>
      </c>
      <c r="C3" s="128"/>
      <c r="D3" s="128"/>
      <c r="E3" s="128"/>
      <c r="F3" s="128"/>
      <c r="G3" s="128"/>
      <c r="H3" s="128"/>
      <c r="I3" s="128"/>
      <c r="J3" s="128"/>
      <c r="K3" s="129"/>
      <c r="M3" s="130" t="s">
        <v>38</v>
      </c>
      <c r="N3" s="131"/>
      <c r="O3" s="131"/>
      <c r="P3" s="132"/>
      <c r="R3" s="125"/>
      <c r="S3" s="126"/>
      <c r="T3" s="137" t="s">
        <v>39</v>
      </c>
      <c r="U3" s="125"/>
    </row>
    <row r="4" spans="2:22" ht="20.25" thickBot="1">
      <c r="B4" s="39" t="s">
        <v>40</v>
      </c>
      <c r="C4" s="12" t="s">
        <v>41</v>
      </c>
      <c r="D4" s="12" t="s">
        <v>42</v>
      </c>
      <c r="E4" s="12" t="s">
        <v>43</v>
      </c>
      <c r="F4" s="24" t="s">
        <v>44</v>
      </c>
      <c r="G4" s="24" t="s">
        <v>45</v>
      </c>
      <c r="H4" s="24" t="s">
        <v>46</v>
      </c>
      <c r="I4" s="24" t="s">
        <v>47</v>
      </c>
      <c r="J4" s="69" t="s">
        <v>48</v>
      </c>
      <c r="K4" s="12" t="s">
        <v>49</v>
      </c>
      <c r="M4" s="13">
        <v>1000000</v>
      </c>
      <c r="N4" s="14" t="s">
        <v>50</v>
      </c>
      <c r="O4" s="14" t="s">
        <v>51</v>
      </c>
      <c r="P4" s="14">
        <v>0.1429</v>
      </c>
      <c r="R4" s="31" t="s">
        <v>52</v>
      </c>
      <c r="S4" s="33" t="s">
        <v>0</v>
      </c>
      <c r="T4" s="31" t="s">
        <v>52</v>
      </c>
      <c r="U4" s="33" t="s">
        <v>0</v>
      </c>
    </row>
    <row r="5" spans="2:22" ht="19.5">
      <c r="B5" s="15" t="s">
        <v>53</v>
      </c>
      <c r="C5" s="16">
        <v>1</v>
      </c>
      <c r="D5" s="16">
        <v>1</v>
      </c>
      <c r="E5" s="16">
        <v>1</v>
      </c>
      <c r="F5" s="16">
        <v>2</v>
      </c>
      <c r="G5" s="16">
        <v>3</v>
      </c>
      <c r="H5" s="16">
        <v>4</v>
      </c>
      <c r="I5" s="16">
        <v>6</v>
      </c>
      <c r="J5" s="16" t="s">
        <v>54</v>
      </c>
      <c r="K5" s="16" t="s">
        <v>144</v>
      </c>
      <c r="M5" s="17">
        <v>1</v>
      </c>
      <c r="N5" s="18" t="s">
        <v>51</v>
      </c>
      <c r="O5" s="18" t="s">
        <v>55</v>
      </c>
      <c r="P5" s="18">
        <v>2.9307600321999999E-2</v>
      </c>
      <c r="R5" s="29">
        <f>(D19+(SUM(C19,E19:I19)*(1-B$80)))*$C$71*0.01</f>
        <v>0.68874420654705104</v>
      </c>
      <c r="S5" s="14" t="s">
        <v>56</v>
      </c>
      <c r="T5" s="61">
        <f>C19*$C$72*0.01*B$80</f>
        <v>3.5437794955000007E-5</v>
      </c>
      <c r="U5" s="14" t="s">
        <v>57</v>
      </c>
    </row>
    <row r="6" spans="2:22" ht="19.5">
      <c r="B6" s="15" t="s">
        <v>58</v>
      </c>
      <c r="C6" s="27">
        <v>8.2974399999999999</v>
      </c>
      <c r="D6" s="27">
        <v>4.8098299999999998</v>
      </c>
      <c r="E6" s="27">
        <v>10.593129999999999</v>
      </c>
      <c r="F6" s="27">
        <v>0.67158000000000007</v>
      </c>
      <c r="G6" s="27">
        <v>1.48448</v>
      </c>
      <c r="H6" s="27">
        <v>0.13252999999999998</v>
      </c>
      <c r="I6" s="27">
        <v>0.51091666666666657</v>
      </c>
      <c r="J6" s="28">
        <v>2268.0810000000006</v>
      </c>
      <c r="K6" s="28">
        <v>0.42257999999999996</v>
      </c>
      <c r="M6" s="18">
        <v>1</v>
      </c>
      <c r="N6" s="18" t="s">
        <v>59</v>
      </c>
      <c r="O6" s="18" t="s">
        <v>50</v>
      </c>
      <c r="P6" s="17">
        <f>J18*1000</f>
        <v>2399102.583333334</v>
      </c>
      <c r="R6" s="28">
        <f>R5/P7</f>
        <v>2.0089860059579876</v>
      </c>
      <c r="S6" s="18" t="s">
        <v>60</v>
      </c>
      <c r="T6" s="62">
        <f>T5/P7</f>
        <v>1.0336788820849416E-4</v>
      </c>
      <c r="U6" s="18" t="s">
        <v>61</v>
      </c>
    </row>
    <row r="7" spans="2:22" ht="19.5">
      <c r="B7" s="15" t="s">
        <v>62</v>
      </c>
      <c r="C7" s="27">
        <v>8.0521250000000002</v>
      </c>
      <c r="D7" s="27">
        <v>5.575825</v>
      </c>
      <c r="E7" s="27">
        <v>10.432825000000001</v>
      </c>
      <c r="F7" s="27">
        <v>0.68768750000000001</v>
      </c>
      <c r="G7" s="27">
        <v>1.1522625</v>
      </c>
      <c r="H7" s="27">
        <v>0.11173749999999999</v>
      </c>
      <c r="I7" s="27">
        <v>0.78113333333333335</v>
      </c>
      <c r="J7" s="28">
        <v>2237.3462500000001</v>
      </c>
      <c r="K7" s="28">
        <v>0.42378749999999998</v>
      </c>
      <c r="M7" s="18">
        <v>1</v>
      </c>
      <c r="N7" s="18" t="s">
        <v>59</v>
      </c>
      <c r="O7" s="18" t="s">
        <v>51</v>
      </c>
      <c r="P7" s="18">
        <f>P4*(P6/M4)</f>
        <v>0.34283175915833347</v>
      </c>
      <c r="R7" s="28">
        <f>R5/P8</f>
        <v>68.548294090455613</v>
      </c>
      <c r="S7" s="18" t="s">
        <v>63</v>
      </c>
      <c r="T7" s="62">
        <f>T5/P8</f>
        <v>3.5269993814846783E-3</v>
      </c>
      <c r="U7" s="18" t="s">
        <v>64</v>
      </c>
    </row>
    <row r="8" spans="2:22" ht="19.5">
      <c r="B8" s="15" t="s">
        <v>65</v>
      </c>
      <c r="C8" s="27">
        <v>7.9306624999999995</v>
      </c>
      <c r="D8" s="27">
        <v>5.2055250000000006</v>
      </c>
      <c r="E8" s="27">
        <v>10.242612500000002</v>
      </c>
      <c r="F8" s="27">
        <v>0.69532500000000008</v>
      </c>
      <c r="G8" s="27">
        <v>1.2047875000000001</v>
      </c>
      <c r="H8" s="27">
        <v>0.115775</v>
      </c>
      <c r="I8" s="27">
        <v>0.36978749999999999</v>
      </c>
      <c r="J8" s="28">
        <v>2236.9524999999999</v>
      </c>
      <c r="K8" s="28">
        <v>0.42761250000000001</v>
      </c>
      <c r="M8" s="18">
        <v>1</v>
      </c>
      <c r="N8" s="18" t="s">
        <v>59</v>
      </c>
      <c r="O8" s="18" t="s">
        <v>55</v>
      </c>
      <c r="P8" s="18">
        <f>P5*(P7/M5)</f>
        <v>1.00475761751006E-2</v>
      </c>
      <c r="R8" s="28">
        <f>R5/K18</f>
        <v>1.4861381128520763</v>
      </c>
      <c r="S8" s="18" t="s">
        <v>66</v>
      </c>
      <c r="T8" s="62">
        <f>T5/K18</f>
        <v>7.6465917560447361E-5</v>
      </c>
      <c r="U8" s="18" t="s">
        <v>67</v>
      </c>
    </row>
    <row r="9" spans="2:22">
      <c r="B9" s="15" t="s">
        <v>68</v>
      </c>
      <c r="C9" s="27">
        <v>8.6840624999999996</v>
      </c>
      <c r="D9" s="27">
        <v>5.2661499999999997</v>
      </c>
      <c r="E9" s="27">
        <v>10.8195125</v>
      </c>
      <c r="F9" s="27">
        <v>0.77974999999999994</v>
      </c>
      <c r="G9" s="27">
        <v>1.6196874999999999</v>
      </c>
      <c r="H9" s="27">
        <v>0.15390000000000001</v>
      </c>
      <c r="I9" s="27">
        <v>0.54020000000000001</v>
      </c>
      <c r="J9" s="28">
        <v>2302.8587499999999</v>
      </c>
      <c r="K9" s="28">
        <v>0.41761249999999994</v>
      </c>
    </row>
    <row r="10" spans="2:22">
      <c r="B10" s="15" t="s">
        <v>69</v>
      </c>
      <c r="C10" s="27">
        <v>9.4184374999999996</v>
      </c>
      <c r="D10" s="27">
        <v>4.9472749999999994</v>
      </c>
      <c r="E10" s="27">
        <v>11.750174999999999</v>
      </c>
      <c r="F10" s="27">
        <v>0.83765000000000012</v>
      </c>
      <c r="G10" s="27">
        <v>1.35415</v>
      </c>
      <c r="H10" s="27">
        <v>0.154025</v>
      </c>
      <c r="I10" s="27">
        <v>0.68625000000000003</v>
      </c>
      <c r="J10" s="28">
        <v>2347.4100000000003</v>
      </c>
      <c r="K10" s="28">
        <v>0.39302499999999996</v>
      </c>
    </row>
    <row r="11" spans="2:22">
      <c r="B11" s="15" t="s">
        <v>70</v>
      </c>
      <c r="C11" s="27">
        <v>8.6306600000000007</v>
      </c>
      <c r="D11" s="27">
        <v>5.1703799999999998</v>
      </c>
      <c r="E11" s="27">
        <v>12.35154</v>
      </c>
      <c r="F11" s="27">
        <v>0.73682000000000003</v>
      </c>
      <c r="G11" s="27">
        <v>1.62042</v>
      </c>
      <c r="H11" s="27">
        <v>0.16548000000000002</v>
      </c>
      <c r="I11" s="27">
        <v>0.38282500000000003</v>
      </c>
      <c r="J11" s="28">
        <v>2291.6320000000001</v>
      </c>
      <c r="K11" s="28">
        <v>0.46845999999999999</v>
      </c>
    </row>
    <row r="12" spans="2:22">
      <c r="B12" s="15" t="s">
        <v>71</v>
      </c>
      <c r="C12" s="27">
        <v>7.5718874999999999</v>
      </c>
      <c r="D12" s="27">
        <v>3.983025</v>
      </c>
      <c r="E12" s="27">
        <v>10.414149999999999</v>
      </c>
      <c r="F12" s="27">
        <v>0.9663624999999999</v>
      </c>
      <c r="G12" s="27">
        <v>10.379262499999999</v>
      </c>
      <c r="H12" s="27">
        <v>0.60447499999999998</v>
      </c>
      <c r="I12" s="27">
        <v>0.29292857142857143</v>
      </c>
      <c r="J12" s="28">
        <v>3546.6950000000002</v>
      </c>
      <c r="K12" s="28">
        <v>0.59937499999999999</v>
      </c>
    </row>
    <row r="13" spans="2:22">
      <c r="B13" s="15" t="s">
        <v>72</v>
      </c>
      <c r="C13" s="27">
        <v>7.8263300000000013</v>
      </c>
      <c r="D13" s="27">
        <v>4.49939</v>
      </c>
      <c r="E13" s="27">
        <v>10.997577777777778</v>
      </c>
      <c r="F13" s="27">
        <v>0.65339999999999987</v>
      </c>
      <c r="G13" s="27">
        <v>1.3418100000000002</v>
      </c>
      <c r="H13" s="27">
        <v>0.11693000000000001</v>
      </c>
      <c r="I13" s="27">
        <v>0.45548888888888883</v>
      </c>
      <c r="J13" s="28">
        <v>2175.3299999999995</v>
      </c>
      <c r="K13" s="28">
        <v>0.50088999999999995</v>
      </c>
    </row>
    <row r="14" spans="2:22">
      <c r="B14" s="15" t="s">
        <v>73</v>
      </c>
      <c r="C14" s="27">
        <v>8.3213000000000008</v>
      </c>
      <c r="D14" s="27">
        <v>4.8272374999999998</v>
      </c>
      <c r="E14" s="27">
        <v>10.897562499999999</v>
      </c>
      <c r="F14" s="27">
        <v>0.71683750000000002</v>
      </c>
      <c r="G14" s="27">
        <v>1.149025</v>
      </c>
      <c r="H14" s="27">
        <v>0.11405000000000001</v>
      </c>
      <c r="I14" s="27">
        <v>0.52849999999999997</v>
      </c>
      <c r="J14" s="28">
        <v>2197.8137500000003</v>
      </c>
      <c r="K14" s="28">
        <v>0.48980000000000001</v>
      </c>
    </row>
    <row r="15" spans="2:22">
      <c r="B15" s="15" t="s">
        <v>74</v>
      </c>
      <c r="C15" s="27">
        <v>9.7029899999999998</v>
      </c>
      <c r="D15" s="27">
        <v>5.8786100000000001</v>
      </c>
      <c r="E15" s="27">
        <v>12.652380000000001</v>
      </c>
      <c r="F15" s="27">
        <v>0.81498000000000004</v>
      </c>
      <c r="G15" s="27">
        <v>1.4746700000000001</v>
      </c>
      <c r="H15" s="27">
        <v>0.16039000000000003</v>
      </c>
      <c r="I15" s="27">
        <v>0.56053999999999993</v>
      </c>
      <c r="J15" s="28">
        <v>2338.098</v>
      </c>
      <c r="K15" s="28">
        <v>0.46853</v>
      </c>
    </row>
    <row r="16" spans="2:22">
      <c r="B16" s="15" t="s">
        <v>75</v>
      </c>
      <c r="C16" s="27">
        <v>11.253400000000001</v>
      </c>
      <c r="D16" s="27">
        <v>7.2612625</v>
      </c>
      <c r="E16" s="27">
        <v>13.047371428571429</v>
      </c>
      <c r="F16" s="27">
        <v>1.0796000000000001</v>
      </c>
      <c r="G16" s="27">
        <v>1.1847749999999999</v>
      </c>
      <c r="H16" s="27">
        <v>0.23009999999999997</v>
      </c>
      <c r="I16" s="27">
        <v>0.58408571428571421</v>
      </c>
      <c r="J16" s="28">
        <v>2429.0637500000003</v>
      </c>
      <c r="K16" s="28">
        <v>0.43727499999999997</v>
      </c>
    </row>
    <row r="17" spans="2:21">
      <c r="B17" s="15" t="s">
        <v>76</v>
      </c>
      <c r="C17" s="27">
        <v>10.411887499999999</v>
      </c>
      <c r="D17" s="27">
        <v>5.5471250000000003</v>
      </c>
      <c r="E17" s="27">
        <v>12.551887500000001</v>
      </c>
      <c r="F17" s="27">
        <v>0.87086250000000009</v>
      </c>
      <c r="G17" s="27">
        <v>2.2590000000000003</v>
      </c>
      <c r="H17" s="27">
        <v>0.34371249999999998</v>
      </c>
      <c r="I17" s="27">
        <v>0.38288749999999994</v>
      </c>
      <c r="J17" s="28">
        <v>2417.9499999999998</v>
      </c>
      <c r="K17" s="28">
        <v>0.51239999999999997</v>
      </c>
      <c r="M17" s="19"/>
    </row>
    <row r="18" spans="2:21">
      <c r="B18" s="34" t="s">
        <v>77</v>
      </c>
      <c r="C18" s="35">
        <f>AVERAGE(C6:C17)</f>
        <v>8.8417652083333351</v>
      </c>
      <c r="D18" s="35">
        <f t="shared" ref="D18:I18" si="0">AVERAGE(D6:D17)</f>
        <v>5.2476362500000002</v>
      </c>
      <c r="E18" s="35">
        <f t="shared" si="0"/>
        <v>11.395893683862434</v>
      </c>
      <c r="F18" s="35">
        <f t="shared" si="0"/>
        <v>0.79257124999999984</v>
      </c>
      <c r="G18" s="35">
        <f t="shared" si="0"/>
        <v>2.1853608333333328</v>
      </c>
      <c r="H18" s="35">
        <f t="shared" si="0"/>
        <v>0.20025875000000001</v>
      </c>
      <c r="I18" s="35">
        <f t="shared" si="0"/>
        <v>0.50629526455026441</v>
      </c>
      <c r="J18" s="36">
        <f>AVERAGE(J6:J17)</f>
        <v>2399.1025833333338</v>
      </c>
      <c r="K18" s="36">
        <f>AVERAGE(K6:K17)</f>
        <v>0.46344562500000003</v>
      </c>
      <c r="L18" s="19"/>
      <c r="M18" s="19"/>
    </row>
    <row r="19" spans="2:21">
      <c r="B19" s="34" t="s">
        <v>78</v>
      </c>
      <c r="C19" s="36">
        <f>C18*C5</f>
        <v>8.8417652083333351</v>
      </c>
      <c r="D19" s="36">
        <f t="shared" ref="D19" si="1">D18*D5</f>
        <v>5.2476362500000002</v>
      </c>
      <c r="E19" s="36">
        <f>E18*E5</f>
        <v>11.395893683862434</v>
      </c>
      <c r="F19" s="36">
        <f t="shared" ref="F19:I19" si="2">F18*F5</f>
        <v>1.5851424999999997</v>
      </c>
      <c r="G19" s="36">
        <f t="shared" si="2"/>
        <v>6.5560824999999987</v>
      </c>
      <c r="H19" s="36">
        <f t="shared" si="2"/>
        <v>0.80103500000000005</v>
      </c>
      <c r="I19" s="36">
        <f t="shared" si="2"/>
        <v>3.0377715873015863</v>
      </c>
      <c r="J19" s="38"/>
      <c r="K19" s="38"/>
      <c r="L19" s="19"/>
      <c r="M19" s="19"/>
    </row>
    <row r="20" spans="2:21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9"/>
      <c r="P20" s="19"/>
    </row>
    <row r="21" spans="2:21" ht="16.5" thickBot="1">
      <c r="B21" s="11" t="s">
        <v>79</v>
      </c>
      <c r="M21" s="5" t="s">
        <v>80</v>
      </c>
      <c r="N21" s="5"/>
      <c r="O21" s="5"/>
      <c r="P21" s="5"/>
      <c r="R21" s="5" t="s">
        <v>81</v>
      </c>
      <c r="S21" s="5"/>
      <c r="T21" s="5"/>
    </row>
    <row r="22" spans="2:21" ht="19.5" thickBot="1">
      <c r="B22" s="127">
        <v>2024</v>
      </c>
      <c r="C22" s="128"/>
      <c r="D22" s="128"/>
      <c r="E22" s="128"/>
      <c r="F22" s="128"/>
      <c r="G22" s="128"/>
      <c r="H22" s="128"/>
      <c r="I22" s="128"/>
      <c r="J22" s="128"/>
      <c r="K22" s="129"/>
      <c r="M22" s="130" t="s">
        <v>38</v>
      </c>
      <c r="N22" s="131"/>
      <c r="O22" s="131"/>
      <c r="P22" s="132"/>
      <c r="R22" s="125"/>
      <c r="S22" s="126"/>
      <c r="T22" s="137" t="s">
        <v>39</v>
      </c>
      <c r="U22" s="125"/>
    </row>
    <row r="23" spans="2:21" ht="20.25" thickBot="1">
      <c r="B23" s="39" t="s">
        <v>40</v>
      </c>
      <c r="C23" s="12" t="s">
        <v>41</v>
      </c>
      <c r="D23" s="12" t="s">
        <v>42</v>
      </c>
      <c r="E23" s="12" t="s">
        <v>43</v>
      </c>
      <c r="F23" s="24" t="s">
        <v>44</v>
      </c>
      <c r="G23" s="24" t="s">
        <v>45</v>
      </c>
      <c r="H23" s="24" t="s">
        <v>46</v>
      </c>
      <c r="I23" s="24" t="s">
        <v>47</v>
      </c>
      <c r="J23" s="69" t="s">
        <v>48</v>
      </c>
      <c r="K23" s="12" t="s">
        <v>49</v>
      </c>
      <c r="M23" s="13">
        <v>1000000</v>
      </c>
      <c r="N23" s="14" t="s">
        <v>50</v>
      </c>
      <c r="O23" s="14" t="s">
        <v>51</v>
      </c>
      <c r="P23" s="14">
        <v>0.1429</v>
      </c>
      <c r="R23" s="31" t="s">
        <v>52</v>
      </c>
      <c r="S23" s="33" t="s">
        <v>0</v>
      </c>
      <c r="T23" s="31" t="s">
        <v>52</v>
      </c>
      <c r="U23" s="33" t="s">
        <v>0</v>
      </c>
    </row>
    <row r="24" spans="2:21" ht="19.5">
      <c r="B24" s="15" t="s">
        <v>53</v>
      </c>
      <c r="C24" s="16">
        <v>1</v>
      </c>
      <c r="D24" s="16">
        <v>1</v>
      </c>
      <c r="E24" s="16">
        <v>1</v>
      </c>
      <c r="F24" s="16">
        <v>2</v>
      </c>
      <c r="G24" s="16">
        <v>3</v>
      </c>
      <c r="H24" s="16">
        <v>4</v>
      </c>
      <c r="I24" s="16">
        <v>6</v>
      </c>
      <c r="J24" s="16" t="s">
        <v>54</v>
      </c>
      <c r="K24" s="16" t="s">
        <v>145</v>
      </c>
      <c r="M24" s="17">
        <v>1</v>
      </c>
      <c r="N24" s="18" t="s">
        <v>51</v>
      </c>
      <c r="O24" s="18" t="s">
        <v>55</v>
      </c>
      <c r="P24" s="18">
        <v>2.9307600321999999E-2</v>
      </c>
      <c r="R24" s="29">
        <f>(D38+(SUM(C38,E38:I38)*(1-B$80)))*$C$71*0.01</f>
        <v>0.78768247648669221</v>
      </c>
      <c r="S24" s="14" t="s">
        <v>56</v>
      </c>
      <c r="T24" s="61">
        <f>C38*$C$72*0.01*B$80</f>
        <v>5.6908195880000003E-5</v>
      </c>
      <c r="U24" s="14" t="s">
        <v>57</v>
      </c>
    </row>
    <row r="25" spans="2:21" ht="19.5">
      <c r="B25" s="15" t="s">
        <v>58</v>
      </c>
      <c r="C25" s="27">
        <v>11.594800000000001</v>
      </c>
      <c r="D25" s="27">
        <v>5.85534</v>
      </c>
      <c r="E25" s="27">
        <v>12.063529999999998</v>
      </c>
      <c r="F25" s="27">
        <v>0.76795000000000002</v>
      </c>
      <c r="G25" s="27">
        <v>0.88175999999999988</v>
      </c>
      <c r="H25" s="27">
        <v>0.87468000000000001</v>
      </c>
      <c r="I25" s="27">
        <v>0.40970000000000006</v>
      </c>
      <c r="J25" s="28">
        <v>2406.0700000000002</v>
      </c>
      <c r="K25" s="28">
        <v>0.51565000000000005</v>
      </c>
      <c r="M25" s="18">
        <v>1</v>
      </c>
      <c r="N25" s="18" t="s">
        <v>59</v>
      </c>
      <c r="O25" s="18" t="s">
        <v>50</v>
      </c>
      <c r="P25" s="17">
        <f>J37*1000</f>
        <v>2606861.895833333</v>
      </c>
      <c r="R25" s="28">
        <f>R24/P26</f>
        <v>2.1144670943664625</v>
      </c>
      <c r="S25" s="18" t="s">
        <v>60</v>
      </c>
      <c r="T25" s="62">
        <f>T24/P26</f>
        <v>1.52765246377871E-4</v>
      </c>
      <c r="U25" s="18" t="s">
        <v>61</v>
      </c>
    </row>
    <row r="26" spans="2:21" ht="15.95" customHeight="1">
      <c r="B26" s="15" t="s">
        <v>62</v>
      </c>
      <c r="C26" s="27">
        <v>13.178275000000003</v>
      </c>
      <c r="D26" s="27">
        <v>6.4526374999999998</v>
      </c>
      <c r="E26" s="27">
        <v>9.9712124999999983</v>
      </c>
      <c r="F26" s="27">
        <v>0.81061249999999996</v>
      </c>
      <c r="G26" s="27">
        <v>2.0578375000000002</v>
      </c>
      <c r="H26" s="27">
        <v>1.1361000000000001</v>
      </c>
      <c r="I26" s="27">
        <v>0.69195000000000007</v>
      </c>
      <c r="J26" s="28">
        <v>2588.3125</v>
      </c>
      <c r="K26" s="28">
        <v>0.51783749999999995</v>
      </c>
      <c r="M26" s="18">
        <v>1</v>
      </c>
      <c r="N26" s="18" t="s">
        <v>59</v>
      </c>
      <c r="O26" s="18" t="s">
        <v>51</v>
      </c>
      <c r="P26" s="18">
        <f>P23*(P25/M23)</f>
        <v>0.3725205649145833</v>
      </c>
      <c r="R26" s="28">
        <f>R24/P27</f>
        <v>72.147397642079213</v>
      </c>
      <c r="S26" s="18" t="s">
        <v>63</v>
      </c>
      <c r="T26" s="62">
        <f>T24/P27</f>
        <v>5.2124788348228042E-3</v>
      </c>
      <c r="U26" s="18" t="s">
        <v>64</v>
      </c>
    </row>
    <row r="27" spans="2:21" ht="19.5">
      <c r="B27" s="15" t="s">
        <v>65</v>
      </c>
      <c r="C27" s="27">
        <v>11.654787499999999</v>
      </c>
      <c r="D27" s="27">
        <v>4.9511750000000001</v>
      </c>
      <c r="E27" s="27">
        <v>8.3582625000000004</v>
      </c>
      <c r="F27" s="27">
        <v>0.65921249999999998</v>
      </c>
      <c r="G27" s="27">
        <v>3.1083375000000002</v>
      </c>
      <c r="H27" s="27">
        <v>0.16969999999999999</v>
      </c>
      <c r="I27" s="27">
        <v>0.30459999999999998</v>
      </c>
      <c r="J27" s="28">
        <v>2412.1012500000006</v>
      </c>
      <c r="K27" s="28">
        <v>0.53560000000000008</v>
      </c>
      <c r="M27" s="18">
        <v>1</v>
      </c>
      <c r="N27" s="18" t="s">
        <v>59</v>
      </c>
      <c r="O27" s="18" t="s">
        <v>55</v>
      </c>
      <c r="P27" s="18">
        <f>P24*(P26/M24)</f>
        <v>1.0917683828242262E-2</v>
      </c>
      <c r="R27" s="28">
        <f>R24/K37</f>
        <v>1.6283568877979429</v>
      </c>
      <c r="S27" s="18" t="s">
        <v>66</v>
      </c>
      <c r="T27" s="62">
        <f>T24/K37</f>
        <v>1.1764493371323351E-4</v>
      </c>
      <c r="U27" s="18" t="s">
        <v>67</v>
      </c>
    </row>
    <row r="28" spans="2:21">
      <c r="B28" s="15" t="s">
        <v>68</v>
      </c>
      <c r="C28" s="27">
        <v>13.616099999999999</v>
      </c>
      <c r="D28" s="57">
        <v>5.4518800000000001</v>
      </c>
      <c r="E28" s="57">
        <v>8.88992</v>
      </c>
      <c r="F28" s="57">
        <v>0.88212999999999986</v>
      </c>
      <c r="G28" s="57">
        <v>6.1089800000000007</v>
      </c>
      <c r="H28" s="57">
        <v>0.50112000000000001</v>
      </c>
      <c r="I28" s="57">
        <v>0.38182499999999997</v>
      </c>
      <c r="J28" s="28">
        <v>2777.8659999999995</v>
      </c>
      <c r="K28" s="28">
        <v>0.56355000000000011</v>
      </c>
    </row>
    <row r="29" spans="2:21">
      <c r="B29" s="15" t="s">
        <v>69</v>
      </c>
      <c r="C29" s="57">
        <v>16.49475</v>
      </c>
      <c r="D29" s="57">
        <v>6.5586500000000001</v>
      </c>
      <c r="E29" s="57">
        <v>9.6325500000000002</v>
      </c>
      <c r="F29" s="57">
        <v>0.96795000000000009</v>
      </c>
      <c r="G29" s="57">
        <v>2.8296999999999999</v>
      </c>
      <c r="H29" s="57">
        <v>0.15079999999999999</v>
      </c>
      <c r="I29" s="57">
        <v>0</v>
      </c>
      <c r="J29" s="28">
        <v>2707.9449999999997</v>
      </c>
      <c r="K29" s="28">
        <v>0.50224999999999997</v>
      </c>
    </row>
    <row r="30" spans="2:21">
      <c r="B30" s="15" t="s">
        <v>70</v>
      </c>
      <c r="C30" s="57">
        <v>12.476962500000001</v>
      </c>
      <c r="D30" s="57">
        <v>5.889475</v>
      </c>
      <c r="E30" s="57">
        <v>12.478337499999999</v>
      </c>
      <c r="F30" s="57">
        <v>1.0502</v>
      </c>
      <c r="G30" s="57">
        <v>3.0119499999999997</v>
      </c>
      <c r="H30" s="57">
        <v>0.84247499999999997</v>
      </c>
      <c r="I30" s="57">
        <v>0.32042500000000002</v>
      </c>
      <c r="J30" s="28">
        <v>2587.14</v>
      </c>
      <c r="K30" s="28">
        <v>0.44273333333333337</v>
      </c>
    </row>
    <row r="31" spans="2:21">
      <c r="B31" s="15" t="s">
        <v>71</v>
      </c>
      <c r="C31" s="57">
        <v>15.016219999999999</v>
      </c>
      <c r="D31" s="57">
        <v>5.7631799999999993</v>
      </c>
      <c r="E31" s="57">
        <v>10.676870000000001</v>
      </c>
      <c r="F31" s="57">
        <v>0.81701000000000001</v>
      </c>
      <c r="G31" s="57">
        <v>2.57193</v>
      </c>
      <c r="H31" s="57">
        <v>0.13036999999999999</v>
      </c>
      <c r="I31" s="57">
        <v>0</v>
      </c>
      <c r="J31" s="28">
        <v>2656.2889999999998</v>
      </c>
      <c r="K31" s="28">
        <v>0.46553000000000005</v>
      </c>
    </row>
    <row r="32" spans="2:21">
      <c r="B32" s="15" t="s">
        <v>72</v>
      </c>
      <c r="C32" s="57">
        <v>14.274712500000003</v>
      </c>
      <c r="D32" s="57">
        <v>6.4096124999999997</v>
      </c>
      <c r="E32" s="57">
        <v>11.323275000000001</v>
      </c>
      <c r="F32" s="57">
        <v>0.8431249999999999</v>
      </c>
      <c r="G32" s="57">
        <v>2.1213500000000001</v>
      </c>
      <c r="H32" s="57">
        <v>0.11763749999999999</v>
      </c>
      <c r="I32" s="57">
        <v>0</v>
      </c>
      <c r="J32" s="28">
        <v>2590.1662499999998</v>
      </c>
      <c r="K32" s="28">
        <v>0.46916250000000004</v>
      </c>
    </row>
    <row r="33" spans="2:21">
      <c r="B33" s="15" t="s">
        <v>73</v>
      </c>
      <c r="C33" s="57">
        <v>16.154287499999999</v>
      </c>
      <c r="D33" s="57">
        <v>5.1576125000000008</v>
      </c>
      <c r="E33" s="57">
        <v>11.788971428571427</v>
      </c>
      <c r="F33" s="57">
        <v>0.80886250000000004</v>
      </c>
      <c r="G33" s="57">
        <v>2.2113874999999998</v>
      </c>
      <c r="H33" s="57">
        <v>1.1160875000000001</v>
      </c>
      <c r="I33" s="57">
        <v>0</v>
      </c>
      <c r="J33" s="28">
        <v>2694.6149999999998</v>
      </c>
      <c r="K33" s="28">
        <v>0.4476</v>
      </c>
    </row>
    <row r="34" spans="2:21">
      <c r="B34" s="15" t="s">
        <v>74</v>
      </c>
      <c r="C34" s="57">
        <v>14.977279999999999</v>
      </c>
      <c r="D34" s="57">
        <v>5.9412900000000004</v>
      </c>
      <c r="E34" s="57">
        <v>11.65185</v>
      </c>
      <c r="F34" s="57">
        <v>0.83714</v>
      </c>
      <c r="G34" s="57">
        <v>1.5045899999999999</v>
      </c>
      <c r="H34" s="57">
        <v>0.1246</v>
      </c>
      <c r="I34" s="57">
        <v>0</v>
      </c>
      <c r="J34" s="28">
        <v>2604.4</v>
      </c>
      <c r="K34" s="28">
        <v>0.44124999999999998</v>
      </c>
    </row>
    <row r="35" spans="2:21">
      <c r="B35" s="15" t="s">
        <v>75</v>
      </c>
      <c r="C35" s="57">
        <v>16.156124999999999</v>
      </c>
      <c r="D35" s="57">
        <v>6.3727999999999989</v>
      </c>
      <c r="E35" s="57">
        <v>12.397124999999999</v>
      </c>
      <c r="F35" s="57">
        <v>0.95230000000000004</v>
      </c>
      <c r="G35" s="57">
        <v>2.0265249999999999</v>
      </c>
      <c r="H35" s="57">
        <v>0.1232375</v>
      </c>
      <c r="I35" s="57">
        <v>0</v>
      </c>
      <c r="J35" s="28">
        <v>2696.2637500000001</v>
      </c>
      <c r="K35" s="28">
        <v>0.44203750000000003</v>
      </c>
    </row>
    <row r="36" spans="2:21">
      <c r="B36" s="15" t="s">
        <v>76</v>
      </c>
      <c r="C36" s="57">
        <v>14.78952</v>
      </c>
      <c r="D36" s="57">
        <v>4.0733100000000002</v>
      </c>
      <c r="E36" s="57">
        <v>11.165119999999998</v>
      </c>
      <c r="F36" s="57">
        <v>0.78654000000000013</v>
      </c>
      <c r="G36" s="57">
        <v>1.5807</v>
      </c>
      <c r="H36" s="57">
        <v>7.535E-2</v>
      </c>
      <c r="I36" s="57">
        <v>0</v>
      </c>
      <c r="J36" s="28">
        <v>2561.174</v>
      </c>
      <c r="K36" s="28">
        <v>0.46154000000000001</v>
      </c>
    </row>
    <row r="37" spans="2:21">
      <c r="B37" s="34" t="s">
        <v>77</v>
      </c>
      <c r="C37" s="35">
        <f>AVERAGE(C25:C36)</f>
        <v>14.198651666666668</v>
      </c>
      <c r="D37" s="35">
        <f t="shared" ref="D37:I37" si="3">AVERAGE(D25:D36)</f>
        <v>5.7397468750000007</v>
      </c>
      <c r="E37" s="35">
        <f t="shared" si="3"/>
        <v>10.866418660714286</v>
      </c>
      <c r="F37" s="35">
        <f t="shared" si="3"/>
        <v>0.84858604166666662</v>
      </c>
      <c r="G37" s="35">
        <f t="shared" si="3"/>
        <v>2.5012539583333333</v>
      </c>
      <c r="H37" s="35">
        <f t="shared" si="3"/>
        <v>0.44684645833333336</v>
      </c>
      <c r="I37" s="35">
        <f t="shared" si="3"/>
        <v>0.17570833333333336</v>
      </c>
      <c r="J37" s="35">
        <f t="shared" ref="J37:K37" si="4">AVERAGE(J25:J36)</f>
        <v>2606.8618958333332</v>
      </c>
      <c r="K37" s="35">
        <f t="shared" si="4"/>
        <v>0.4837284027777779</v>
      </c>
    </row>
    <row r="38" spans="2:21">
      <c r="B38" s="34" t="s">
        <v>78</v>
      </c>
      <c r="C38" s="36">
        <f>C37*C24</f>
        <v>14.198651666666668</v>
      </c>
      <c r="D38" s="36">
        <f>D37*D24</f>
        <v>5.7397468750000007</v>
      </c>
      <c r="E38" s="36">
        <f t="shared" ref="E38:I38" si="5">E37*E24</f>
        <v>10.866418660714286</v>
      </c>
      <c r="F38" s="36">
        <f t="shared" si="5"/>
        <v>1.6971720833333332</v>
      </c>
      <c r="G38" s="36">
        <f t="shared" si="5"/>
        <v>7.5037618750000004</v>
      </c>
      <c r="H38" s="36">
        <f t="shared" si="5"/>
        <v>1.7873858333333335</v>
      </c>
      <c r="I38" s="36">
        <f t="shared" si="5"/>
        <v>1.0542500000000001</v>
      </c>
      <c r="J38" s="38"/>
      <c r="K38" s="38"/>
    </row>
    <row r="39" spans="2:21">
      <c r="C39" s="20"/>
      <c r="D39" s="20"/>
      <c r="E39" s="20"/>
      <c r="F39" s="20"/>
      <c r="G39" s="20"/>
      <c r="H39" s="20"/>
      <c r="I39" s="20"/>
      <c r="J39" s="21"/>
      <c r="K39" s="21"/>
    </row>
    <row r="40" spans="2:21" ht="16.5" thickBot="1">
      <c r="B40" s="11" t="s">
        <v>82</v>
      </c>
      <c r="M40" s="5" t="s">
        <v>83</v>
      </c>
      <c r="N40" s="5"/>
      <c r="O40" s="5"/>
      <c r="P40" s="5"/>
      <c r="R40" s="5" t="s">
        <v>84</v>
      </c>
      <c r="S40" s="5"/>
      <c r="T40" s="5"/>
    </row>
    <row r="41" spans="2:21" ht="19.5" thickBot="1">
      <c r="B41" s="127">
        <v>2025</v>
      </c>
      <c r="C41" s="128"/>
      <c r="D41" s="128"/>
      <c r="E41" s="128"/>
      <c r="F41" s="128"/>
      <c r="G41" s="128"/>
      <c r="H41" s="128"/>
      <c r="I41" s="128"/>
      <c r="J41" s="128"/>
      <c r="K41" s="129"/>
      <c r="M41" s="130" t="s">
        <v>38</v>
      </c>
      <c r="N41" s="131"/>
      <c r="O41" s="131"/>
      <c r="P41" s="132"/>
      <c r="R41" s="125"/>
      <c r="S41" s="126"/>
      <c r="T41" s="137" t="s">
        <v>39</v>
      </c>
      <c r="U41" s="125"/>
    </row>
    <row r="42" spans="2:21" ht="20.25" thickBot="1">
      <c r="B42" s="39" t="s">
        <v>40</v>
      </c>
      <c r="C42" s="12" t="s">
        <v>41</v>
      </c>
      <c r="D42" s="12" t="s">
        <v>42</v>
      </c>
      <c r="E42" s="12" t="s">
        <v>43</v>
      </c>
      <c r="F42" s="24" t="s">
        <v>44</v>
      </c>
      <c r="G42" s="24" t="s">
        <v>45</v>
      </c>
      <c r="H42" s="24" t="s">
        <v>46</v>
      </c>
      <c r="I42" s="24" t="s">
        <v>47</v>
      </c>
      <c r="J42" s="69" t="s">
        <v>48</v>
      </c>
      <c r="K42" s="12" t="s">
        <v>49</v>
      </c>
      <c r="M42" s="13">
        <v>1000000</v>
      </c>
      <c r="N42" s="14" t="s">
        <v>50</v>
      </c>
      <c r="O42" s="14" t="s">
        <v>51</v>
      </c>
      <c r="P42" s="14">
        <v>0.1429</v>
      </c>
      <c r="R42" s="31" t="s">
        <v>52</v>
      </c>
      <c r="S42" s="33" t="s">
        <v>0</v>
      </c>
      <c r="T42" s="31" t="s">
        <v>52</v>
      </c>
      <c r="U42" s="33" t="s">
        <v>0</v>
      </c>
    </row>
    <row r="43" spans="2:21" ht="19.5">
      <c r="B43" s="15" t="s">
        <v>53</v>
      </c>
      <c r="C43" s="16">
        <v>1</v>
      </c>
      <c r="D43" s="16">
        <v>1</v>
      </c>
      <c r="E43" s="16">
        <v>1</v>
      </c>
      <c r="F43" s="16">
        <v>2</v>
      </c>
      <c r="G43" s="16">
        <v>3</v>
      </c>
      <c r="H43" s="16">
        <v>4</v>
      </c>
      <c r="I43" s="16">
        <v>6</v>
      </c>
      <c r="J43" s="16" t="s">
        <v>54</v>
      </c>
      <c r="K43" s="16" t="s">
        <v>145</v>
      </c>
      <c r="M43" s="17">
        <v>1</v>
      </c>
      <c r="N43" s="18" t="s">
        <v>51</v>
      </c>
      <c r="O43" s="18" t="s">
        <v>55</v>
      </c>
      <c r="P43" s="18">
        <v>2.9307600321999999E-2</v>
      </c>
      <c r="R43" s="29">
        <f>(D57+(SUM(C57,E57:I57)*(1-B$80)))*$C$71*0.01</f>
        <v>0.70354706257800204</v>
      </c>
      <c r="S43" s="14" t="s">
        <v>56</v>
      </c>
      <c r="T43" s="61">
        <f>C57*$C$72*0.01*B$80</f>
        <v>6.3056162548333342E-5</v>
      </c>
      <c r="U43" s="14" t="s">
        <v>57</v>
      </c>
    </row>
    <row r="44" spans="2:21" ht="19.5">
      <c r="B44" s="15" t="s">
        <v>58</v>
      </c>
      <c r="C44" s="27">
        <v>15.994575000000001</v>
      </c>
      <c r="D44" s="27">
        <v>5.0929500000000001</v>
      </c>
      <c r="E44" s="27">
        <v>11.501250000000001</v>
      </c>
      <c r="F44" s="27">
        <v>0.78827499999999995</v>
      </c>
      <c r="G44" s="27">
        <v>0.54364999999999997</v>
      </c>
      <c r="H44" s="27">
        <v>0.1942875</v>
      </c>
      <c r="I44" s="27">
        <v>0</v>
      </c>
      <c r="J44" s="28">
        <v>2585.5662500000003</v>
      </c>
      <c r="K44" s="28">
        <v>0.46026249999999991</v>
      </c>
      <c r="M44" s="18">
        <v>1</v>
      </c>
      <c r="N44" s="18" t="s">
        <v>59</v>
      </c>
      <c r="O44" s="18" t="s">
        <v>50</v>
      </c>
      <c r="P44" s="17">
        <f>J56*1000</f>
        <v>2625100.729166666</v>
      </c>
      <c r="R44" s="28">
        <f>R43/P45</f>
        <v>1.8754908631179383</v>
      </c>
      <c r="S44" s="18" t="s">
        <v>60</v>
      </c>
      <c r="T44" s="62">
        <f>T43/P45</f>
        <v>1.6809288676344536E-4</v>
      </c>
      <c r="U44" s="18" t="s">
        <v>61</v>
      </c>
    </row>
    <row r="45" spans="2:21" ht="19.5">
      <c r="B45" s="15" t="s">
        <v>62</v>
      </c>
      <c r="C45" s="27">
        <v>16.1390125</v>
      </c>
      <c r="D45" s="27">
        <v>5.1464375000000002</v>
      </c>
      <c r="E45" s="27">
        <v>11.000674999999999</v>
      </c>
      <c r="F45" s="27">
        <v>0.92443749999999991</v>
      </c>
      <c r="G45" s="27">
        <v>1.9028125000000005</v>
      </c>
      <c r="H45" s="27">
        <v>0.37972499999999998</v>
      </c>
      <c r="I45" s="27">
        <v>0</v>
      </c>
      <c r="J45" s="28">
        <v>2692.9349999999999</v>
      </c>
      <c r="K45" s="28">
        <v>0.46986249999999996</v>
      </c>
      <c r="M45" s="18">
        <v>1</v>
      </c>
      <c r="N45" s="18" t="s">
        <v>59</v>
      </c>
      <c r="O45" s="18" t="s">
        <v>51</v>
      </c>
      <c r="P45" s="18">
        <f>P42*(P44/M42)</f>
        <v>0.37512689419791656</v>
      </c>
      <c r="R45" s="28">
        <f>R43/P46</f>
        <v>63.993327413779603</v>
      </c>
      <c r="S45" s="18" t="s">
        <v>63</v>
      </c>
      <c r="T45" s="62">
        <f>T43/P46</f>
        <v>5.7354708306590705E-3</v>
      </c>
      <c r="U45" s="18" t="s">
        <v>64</v>
      </c>
    </row>
    <row r="46" spans="2:21" ht="19.5">
      <c r="B46" s="15" t="s">
        <v>65</v>
      </c>
      <c r="C46" s="27">
        <v>16.4145875</v>
      </c>
      <c r="D46" s="27">
        <v>4.8073625</v>
      </c>
      <c r="E46" s="27">
        <v>11.258800000000001</v>
      </c>
      <c r="F46" s="27">
        <v>0.98263750000000005</v>
      </c>
      <c r="G46" s="27">
        <v>1.8504749999999999</v>
      </c>
      <c r="H46" s="27">
        <v>0.13726250000000001</v>
      </c>
      <c r="I46" s="27">
        <v>0</v>
      </c>
      <c r="J46" s="28">
        <v>2685.51</v>
      </c>
      <c r="K46" s="28">
        <v>0.46619999999999995</v>
      </c>
      <c r="M46" s="18">
        <v>1</v>
      </c>
      <c r="N46" s="18" t="s">
        <v>59</v>
      </c>
      <c r="O46" s="18" t="s">
        <v>55</v>
      </c>
      <c r="P46" s="18">
        <f>P43*(P45/M43)</f>
        <v>1.0994069085185718E-2</v>
      </c>
      <c r="R46" s="28">
        <f>R43/K56</f>
        <v>1.5334574047099581</v>
      </c>
      <c r="S46" s="18" t="s">
        <v>66</v>
      </c>
      <c r="T46" s="62">
        <f>T43/K56</f>
        <v>1.3743777000222509E-4</v>
      </c>
      <c r="U46" s="18" t="s">
        <v>67</v>
      </c>
    </row>
    <row r="47" spans="2:21">
      <c r="B47" s="15" t="s">
        <v>68</v>
      </c>
      <c r="C47" s="27">
        <v>16.34816</v>
      </c>
      <c r="D47" s="27">
        <v>5.5356500000000004</v>
      </c>
      <c r="E47" s="27">
        <v>10.819239999999999</v>
      </c>
      <c r="F47" s="27">
        <v>0.92127999999999999</v>
      </c>
      <c r="G47" s="27">
        <v>1.5364100000000001</v>
      </c>
      <c r="H47" s="27">
        <v>0.13140999999999997</v>
      </c>
      <c r="I47" s="27">
        <v>0</v>
      </c>
      <c r="J47" s="28">
        <v>2651.3770000000004</v>
      </c>
      <c r="K47" s="28">
        <v>0.46663999999999994</v>
      </c>
    </row>
    <row r="48" spans="2:21">
      <c r="B48" s="15" t="s">
        <v>69</v>
      </c>
      <c r="C48" s="27">
        <v>13.575659999999999</v>
      </c>
      <c r="D48" s="27">
        <v>5.7382200000000001</v>
      </c>
      <c r="E48" s="27">
        <v>11.4068</v>
      </c>
      <c r="F48" s="27">
        <v>0.94352000000000003</v>
      </c>
      <c r="G48" s="27">
        <v>1.43608</v>
      </c>
      <c r="H48" s="27">
        <v>0.22679999999999997</v>
      </c>
      <c r="I48" s="27">
        <v>0</v>
      </c>
      <c r="J48" s="28">
        <v>2548.0060000000003</v>
      </c>
      <c r="K48" s="28">
        <v>0.45682</v>
      </c>
    </row>
    <row r="49" spans="2:21">
      <c r="B49" s="15" t="s">
        <v>70</v>
      </c>
      <c r="C49" s="27">
        <v>23.189933333333332</v>
      </c>
      <c r="D49" s="27">
        <v>5.5867666666666667</v>
      </c>
      <c r="E49" s="27">
        <v>0</v>
      </c>
      <c r="F49" s="27">
        <v>0.99673333333333336</v>
      </c>
      <c r="G49" s="27">
        <v>4.9904333333333328</v>
      </c>
      <c r="H49" s="27">
        <v>0.26513333333333333</v>
      </c>
      <c r="I49" s="27">
        <v>0</v>
      </c>
      <c r="J49" s="28">
        <v>3046.9599999999996</v>
      </c>
      <c r="K49" s="28">
        <v>0.44659999999999994</v>
      </c>
    </row>
    <row r="50" spans="2:21">
      <c r="B50" s="15" t="s">
        <v>71</v>
      </c>
      <c r="C50" s="27">
        <v>16.809080000000002</v>
      </c>
      <c r="D50" s="27">
        <v>6.2546999999999997</v>
      </c>
      <c r="E50" s="27">
        <v>7.9999399999999996</v>
      </c>
      <c r="F50" s="27">
        <v>1.0066700000000002</v>
      </c>
      <c r="G50" s="27">
        <v>2.0119599999999997</v>
      </c>
      <c r="H50" s="27">
        <v>0.27544000000000002</v>
      </c>
      <c r="I50" s="27">
        <v>0</v>
      </c>
      <c r="J50" s="28">
        <v>2676.8489999999997</v>
      </c>
      <c r="K50" s="28">
        <v>0.43683000000000005</v>
      </c>
    </row>
    <row r="51" spans="2:21">
      <c r="B51" s="15" t="s">
        <v>72</v>
      </c>
      <c r="C51" s="27">
        <v>16.064975</v>
      </c>
      <c r="D51" s="27">
        <v>5.8226624999999999</v>
      </c>
      <c r="E51" s="27">
        <v>6.6935625000000005</v>
      </c>
      <c r="F51" s="27">
        <v>0.96497499999999992</v>
      </c>
      <c r="G51" s="27">
        <v>1.6501375</v>
      </c>
      <c r="H51" s="27">
        <v>0.1617625</v>
      </c>
      <c r="I51" s="27">
        <v>0</v>
      </c>
      <c r="J51" s="28">
        <v>2594.4124999999999</v>
      </c>
      <c r="K51" s="28">
        <v>0.44630000000000003</v>
      </c>
    </row>
    <row r="52" spans="2:21" ht="15">
      <c r="B52" s="15" t="s">
        <v>73</v>
      </c>
      <c r="C52" s="27">
        <v>12.996530000000002</v>
      </c>
      <c r="D52" s="27">
        <v>5.2100200000000001</v>
      </c>
      <c r="E52" s="27">
        <v>7.7476299999999991</v>
      </c>
      <c r="F52" s="27">
        <v>1.0117699999999998</v>
      </c>
      <c r="G52" s="27">
        <v>2.5476800000000002</v>
      </c>
      <c r="H52" s="27">
        <v>0.14416999999999999</v>
      </c>
      <c r="I52" s="27">
        <v>0</v>
      </c>
      <c r="J52" s="28">
        <v>2505.5479999999998</v>
      </c>
      <c r="K52" s="28">
        <v>0.47245000000000009</v>
      </c>
      <c r="U52" s="11"/>
    </row>
    <row r="53" spans="2:21" ht="15">
      <c r="B53" s="15" t="s">
        <v>74</v>
      </c>
      <c r="C53" s="27">
        <v>13.962237500000001</v>
      </c>
      <c r="D53" s="27">
        <v>4.7110000000000003</v>
      </c>
      <c r="E53" s="27">
        <v>7.8418249999999992</v>
      </c>
      <c r="F53" s="27">
        <v>0.90856249999999994</v>
      </c>
      <c r="G53" s="27">
        <v>1.5207125000000001</v>
      </c>
      <c r="H53" s="27">
        <v>0.16017499999999998</v>
      </c>
      <c r="I53" s="27">
        <v>0</v>
      </c>
      <c r="J53" s="28">
        <v>2484.8074999999999</v>
      </c>
      <c r="K53" s="28">
        <v>0.46011250000000004</v>
      </c>
      <c r="U53" s="11"/>
    </row>
    <row r="54" spans="2:21" ht="15">
      <c r="B54" s="15" t="s">
        <v>75</v>
      </c>
      <c r="C54" s="27">
        <v>13.398775000000001</v>
      </c>
      <c r="D54" s="27">
        <v>4.7577249999999998</v>
      </c>
      <c r="E54" s="27">
        <v>8.2963249999999995</v>
      </c>
      <c r="F54" s="27">
        <v>0.9770875</v>
      </c>
      <c r="G54" s="27">
        <v>1.7518250000000002</v>
      </c>
      <c r="H54" s="27">
        <v>0.19479999999999997</v>
      </c>
      <c r="I54" s="27">
        <v>0</v>
      </c>
      <c r="J54" s="28">
        <v>2488.1675</v>
      </c>
      <c r="K54" s="28">
        <v>0.45618749999999997</v>
      </c>
      <c r="U54" s="11"/>
    </row>
    <row r="55" spans="2:21" ht="15">
      <c r="B55" s="15" t="s">
        <v>76</v>
      </c>
      <c r="C55" s="27">
        <v>13.897380000000002</v>
      </c>
      <c r="D55" s="27">
        <v>4.5988500000000005</v>
      </c>
      <c r="E55" s="27">
        <v>9.16465</v>
      </c>
      <c r="F55" s="27">
        <v>1.0694700000000001</v>
      </c>
      <c r="G55" s="27">
        <v>1.9049600000000002</v>
      </c>
      <c r="H55" s="27">
        <v>0.11179999999999998</v>
      </c>
      <c r="I55" s="27">
        <v>0</v>
      </c>
      <c r="J55" s="28">
        <v>2541.0699999999997</v>
      </c>
      <c r="K55" s="28">
        <v>0.46730999999999989</v>
      </c>
      <c r="U55" s="11"/>
    </row>
    <row r="56" spans="2:21" ht="15">
      <c r="B56" s="34" t="s">
        <v>77</v>
      </c>
      <c r="C56" s="35">
        <f>AVERAGE(C44:C55)</f>
        <v>15.732575486111111</v>
      </c>
      <c r="D56" s="35">
        <f t="shared" ref="D56:K56" si="6">AVERAGE(D44:D55)</f>
        <v>5.2718620138888888</v>
      </c>
      <c r="E56" s="35">
        <f t="shared" si="6"/>
        <v>8.6442247916666677</v>
      </c>
      <c r="F56" s="35">
        <f t="shared" si="6"/>
        <v>0.95795152777777781</v>
      </c>
      <c r="G56" s="35">
        <f t="shared" si="6"/>
        <v>1.970594652777778</v>
      </c>
      <c r="H56" s="35">
        <f t="shared" si="6"/>
        <v>0.19856381944444446</v>
      </c>
      <c r="I56" s="35">
        <f t="shared" si="6"/>
        <v>0</v>
      </c>
      <c r="J56" s="35">
        <f t="shared" si="6"/>
        <v>2625.100729166666</v>
      </c>
      <c r="K56" s="35">
        <f t="shared" si="6"/>
        <v>0.45879791666666653</v>
      </c>
      <c r="L56" s="19"/>
      <c r="U56" s="11"/>
    </row>
    <row r="57" spans="2:21" ht="15">
      <c r="B57" s="34" t="s">
        <v>78</v>
      </c>
      <c r="C57" s="36">
        <f>C56*C43</f>
        <v>15.732575486111111</v>
      </c>
      <c r="D57" s="36">
        <f t="shared" ref="D57:I57" si="7">D56*D43</f>
        <v>5.2718620138888888</v>
      </c>
      <c r="E57" s="36">
        <f t="shared" si="7"/>
        <v>8.6442247916666677</v>
      </c>
      <c r="F57" s="36">
        <f t="shared" si="7"/>
        <v>1.9159030555555556</v>
      </c>
      <c r="G57" s="36">
        <f t="shared" si="7"/>
        <v>5.9117839583333343</v>
      </c>
      <c r="H57" s="36">
        <f t="shared" si="7"/>
        <v>0.79425527777777782</v>
      </c>
      <c r="I57" s="36">
        <f t="shared" si="7"/>
        <v>0</v>
      </c>
      <c r="J57" s="38"/>
      <c r="K57" s="38"/>
      <c r="L57" s="19"/>
      <c r="U57" s="11"/>
    </row>
    <row r="58" spans="2:21" ht="15">
      <c r="C58" s="20"/>
      <c r="D58" s="20"/>
      <c r="E58" s="20"/>
      <c r="F58" s="20"/>
      <c r="G58" s="20"/>
      <c r="H58" s="20"/>
      <c r="I58" s="20"/>
      <c r="J58" s="21"/>
      <c r="K58" s="21"/>
      <c r="U58" s="11"/>
    </row>
    <row r="59" spans="2:21" thickBot="1">
      <c r="B59" s="11" t="s">
        <v>85</v>
      </c>
      <c r="M59" s="5" t="s">
        <v>86</v>
      </c>
      <c r="N59" s="5"/>
      <c r="O59" s="5"/>
      <c r="P59" s="5"/>
      <c r="R59" s="5" t="s">
        <v>87</v>
      </c>
      <c r="S59" s="5"/>
      <c r="T59" s="5"/>
      <c r="U59" s="11"/>
    </row>
    <row r="60" spans="2:21" ht="19.5" thickBot="1">
      <c r="B60" s="127">
        <v>2026</v>
      </c>
      <c r="C60" s="128"/>
      <c r="D60" s="128"/>
      <c r="E60" s="128"/>
      <c r="F60" s="128"/>
      <c r="G60" s="128"/>
      <c r="H60" s="128"/>
      <c r="I60" s="128"/>
      <c r="J60" s="128"/>
      <c r="K60" s="129"/>
      <c r="M60" s="130" t="s">
        <v>38</v>
      </c>
      <c r="N60" s="131"/>
      <c r="O60" s="131"/>
      <c r="P60" s="132"/>
      <c r="R60" s="125"/>
      <c r="S60" s="126"/>
      <c r="T60" s="137" t="s">
        <v>39</v>
      </c>
      <c r="U60" s="125"/>
    </row>
    <row r="61" spans="2:21" ht="20.25" thickBot="1">
      <c r="B61" s="39" t="s">
        <v>40</v>
      </c>
      <c r="C61" s="12" t="s">
        <v>41</v>
      </c>
      <c r="D61" s="12" t="s">
        <v>42</v>
      </c>
      <c r="E61" s="12" t="s">
        <v>43</v>
      </c>
      <c r="F61" s="24" t="s">
        <v>44</v>
      </c>
      <c r="G61" s="24" t="s">
        <v>45</v>
      </c>
      <c r="H61" s="24" t="s">
        <v>46</v>
      </c>
      <c r="I61" s="24" t="s">
        <v>47</v>
      </c>
      <c r="J61" s="69" t="s">
        <v>48</v>
      </c>
      <c r="K61" s="12" t="s">
        <v>49</v>
      </c>
      <c r="M61" s="13">
        <v>1000000</v>
      </c>
      <c r="N61" s="14" t="s">
        <v>50</v>
      </c>
      <c r="O61" s="14" t="s">
        <v>51</v>
      </c>
      <c r="P61" s="14">
        <v>0.1429</v>
      </c>
      <c r="R61" s="31" t="s">
        <v>52</v>
      </c>
      <c r="S61" s="33" t="s">
        <v>0</v>
      </c>
      <c r="T61" s="31" t="s">
        <v>52</v>
      </c>
      <c r="U61" s="33" t="s">
        <v>0</v>
      </c>
    </row>
    <row r="62" spans="2:21" ht="19.5">
      <c r="B62" s="15" t="s">
        <v>53</v>
      </c>
      <c r="C62" s="16">
        <v>1</v>
      </c>
      <c r="D62" s="16">
        <v>1</v>
      </c>
      <c r="E62" s="16">
        <v>1</v>
      </c>
      <c r="F62" s="16">
        <v>2</v>
      </c>
      <c r="G62" s="16">
        <v>3</v>
      </c>
      <c r="H62" s="16">
        <v>4</v>
      </c>
      <c r="I62" s="16">
        <v>6</v>
      </c>
      <c r="J62" s="16" t="s">
        <v>54</v>
      </c>
      <c r="K62" s="16" t="s">
        <v>145</v>
      </c>
      <c r="M62" s="17">
        <v>1</v>
      </c>
      <c r="N62" s="18" t="s">
        <v>51</v>
      </c>
      <c r="O62" s="18" t="s">
        <v>55</v>
      </c>
      <c r="P62" s="18">
        <v>2.9307600321999999E-2</v>
      </c>
      <c r="R62" s="29">
        <f>(D67+(SUM(C67,E67:I67)*(1-B$80)))*$C$71*0.01</f>
        <v>0.66040361780492118</v>
      </c>
      <c r="S62" s="14" t="s">
        <v>56</v>
      </c>
      <c r="T62" s="61">
        <f>C67*$C$72*0.01*B$80</f>
        <v>5.4261322700000003E-5</v>
      </c>
      <c r="U62" s="14" t="s">
        <v>57</v>
      </c>
    </row>
    <row r="63" spans="2:21" ht="19.5">
      <c r="B63" s="15" t="s">
        <v>58</v>
      </c>
      <c r="C63" s="27">
        <v>12.979200000000001</v>
      </c>
      <c r="D63" s="27">
        <v>4.7016500000000008</v>
      </c>
      <c r="E63" s="27">
        <v>9.3765500000000017</v>
      </c>
      <c r="F63" s="27">
        <v>1.0042374999999999</v>
      </c>
      <c r="G63" s="27">
        <v>2.3412250000000001</v>
      </c>
      <c r="H63" s="27">
        <v>0.15742857142857142</v>
      </c>
      <c r="I63" s="27">
        <v>0</v>
      </c>
      <c r="J63" s="28">
        <v>2498.8437500000005</v>
      </c>
      <c r="K63" s="28">
        <v>0.47288750000000002</v>
      </c>
      <c r="M63" s="18">
        <v>1</v>
      </c>
      <c r="N63" s="18" t="s">
        <v>59</v>
      </c>
      <c r="O63" s="18" t="s">
        <v>50</v>
      </c>
      <c r="P63" s="17">
        <f>J66*1000</f>
        <v>2491597.5000000005</v>
      </c>
      <c r="R63" s="28">
        <f>R62/P64</f>
        <v>1.8548095721586482</v>
      </c>
      <c r="S63" s="18" t="s">
        <v>60</v>
      </c>
      <c r="T63" s="62">
        <f>T62/P64</f>
        <v>1.5239834856822215E-4</v>
      </c>
      <c r="U63" s="18" t="s">
        <v>61</v>
      </c>
    </row>
    <row r="64" spans="2:21" ht="19.5">
      <c r="B64" s="15" t="s">
        <v>62</v>
      </c>
      <c r="C64" s="27">
        <v>14.6588125</v>
      </c>
      <c r="D64" s="27">
        <v>5.5667250000000008</v>
      </c>
      <c r="E64" s="27">
        <v>8.8586500000000008</v>
      </c>
      <c r="F64" s="27">
        <v>0.94961249999999997</v>
      </c>
      <c r="G64" s="27">
        <v>1.4015625</v>
      </c>
      <c r="H64" s="27">
        <v>0.16846666666666668</v>
      </c>
      <c r="I64" s="27">
        <v>0</v>
      </c>
      <c r="J64" s="28">
        <v>2510.9612500000003</v>
      </c>
      <c r="K64" s="28">
        <v>0.4810625</v>
      </c>
      <c r="M64" s="18">
        <v>1</v>
      </c>
      <c r="N64" s="18" t="s">
        <v>59</v>
      </c>
      <c r="O64" s="18" t="s">
        <v>51</v>
      </c>
      <c r="P64" s="18">
        <f>P61*(P63/M61)</f>
        <v>0.35604928275000008</v>
      </c>
      <c r="R64" s="28">
        <f>R62/P65</f>
        <v>63.287664352591825</v>
      </c>
      <c r="S64" s="18" t="s">
        <v>63</v>
      </c>
      <c r="T64" s="62">
        <f>T62/P65</f>
        <v>5.1999599726294558E-3</v>
      </c>
      <c r="U64" s="18" t="s">
        <v>64</v>
      </c>
    </row>
    <row r="65" spans="2:21" ht="19.5">
      <c r="B65" s="15" t="s">
        <v>65</v>
      </c>
      <c r="C65" s="27">
        <v>12.976749999999999</v>
      </c>
      <c r="D65" s="27">
        <v>5.5866999999999996</v>
      </c>
      <c r="E65" s="27">
        <v>8.6160999999999994</v>
      </c>
      <c r="F65" s="27">
        <v>0.89959999999999996</v>
      </c>
      <c r="G65" s="27">
        <v>1.8854500000000001</v>
      </c>
      <c r="H65" s="27">
        <v>0.138575</v>
      </c>
      <c r="I65" s="27">
        <v>0</v>
      </c>
      <c r="J65" s="28">
        <v>2464.9875000000002</v>
      </c>
      <c r="K65" s="28">
        <v>0.46309999999999996</v>
      </c>
      <c r="M65" s="18">
        <v>1</v>
      </c>
      <c r="N65" s="18" t="s">
        <v>59</v>
      </c>
      <c r="O65" s="18" t="s">
        <v>55</v>
      </c>
      <c r="P65" s="18">
        <f>P62*(P64/M62)</f>
        <v>1.0434950073771772E-2</v>
      </c>
      <c r="R65" s="28">
        <f>R62/K64</f>
        <v>1.3728021157436325</v>
      </c>
      <c r="S65" s="18" t="s">
        <v>66</v>
      </c>
      <c r="T65" s="62">
        <f>T62/K66</f>
        <v>1.1487524653329099E-4</v>
      </c>
      <c r="U65" s="18" t="s">
        <v>67</v>
      </c>
    </row>
    <row r="66" spans="2:21" ht="15">
      <c r="B66" s="34" t="s">
        <v>77</v>
      </c>
      <c r="C66" s="35">
        <f>AVERAGE(C63:C65)</f>
        <v>13.538254166666666</v>
      </c>
      <c r="D66" s="35">
        <f t="shared" ref="D66:I66" si="8">AVERAGE(D63:D65)</f>
        <v>5.285025000000001</v>
      </c>
      <c r="E66" s="35">
        <f t="shared" si="8"/>
        <v>8.9504333333333346</v>
      </c>
      <c r="F66" s="35">
        <f t="shared" si="8"/>
        <v>0.95114999999999983</v>
      </c>
      <c r="G66" s="35">
        <f t="shared" si="8"/>
        <v>1.876079166666667</v>
      </c>
      <c r="H66" s="35">
        <f t="shared" si="8"/>
        <v>0.15482341269841271</v>
      </c>
      <c r="I66" s="35">
        <f t="shared" si="8"/>
        <v>0</v>
      </c>
      <c r="J66" s="36">
        <f>AVERAGE(J63:J65)</f>
        <v>2491.5975000000003</v>
      </c>
      <c r="K66" s="36">
        <f>AVERAGE(K63:K65)</f>
        <v>0.47235000000000005</v>
      </c>
      <c r="L66" s="19"/>
      <c r="U66" s="11"/>
    </row>
    <row r="67" spans="2:21" ht="15">
      <c r="B67" s="34" t="s">
        <v>78</v>
      </c>
      <c r="C67" s="36">
        <f>C66*C62</f>
        <v>13.538254166666666</v>
      </c>
      <c r="D67" s="36">
        <f t="shared" ref="D67:I67" si="9">D66*D62</f>
        <v>5.285025000000001</v>
      </c>
      <c r="E67" s="36">
        <f t="shared" si="9"/>
        <v>8.9504333333333346</v>
      </c>
      <c r="F67" s="36">
        <f t="shared" si="9"/>
        <v>1.9022999999999997</v>
      </c>
      <c r="G67" s="36">
        <f t="shared" si="9"/>
        <v>5.6282375000000009</v>
      </c>
      <c r="H67" s="36">
        <f t="shared" si="9"/>
        <v>0.61929365079365084</v>
      </c>
      <c r="I67" s="36">
        <f t="shared" si="9"/>
        <v>0</v>
      </c>
      <c r="J67" s="38"/>
      <c r="K67" s="38"/>
      <c r="L67" s="19"/>
      <c r="U67" s="11"/>
    </row>
    <row r="68" spans="2:21" ht="15">
      <c r="B68" s="54"/>
      <c r="C68" s="55"/>
      <c r="D68" s="55"/>
      <c r="E68" s="55"/>
      <c r="F68" s="55"/>
      <c r="G68" s="55"/>
      <c r="H68" s="55"/>
      <c r="I68" s="55"/>
      <c r="J68" s="56"/>
      <c r="K68" s="56"/>
      <c r="L68" s="19"/>
      <c r="U68" s="11"/>
    </row>
    <row r="69" spans="2:21" ht="20.25" thickBot="1">
      <c r="B69" s="5" t="s">
        <v>88</v>
      </c>
    </row>
    <row r="70" spans="2:21" ht="18.75">
      <c r="B70" s="59" t="s">
        <v>89</v>
      </c>
      <c r="C70" s="59" t="s">
        <v>90</v>
      </c>
      <c r="D70" s="138" t="s">
        <v>91</v>
      </c>
      <c r="E70" s="139"/>
      <c r="Q70"/>
      <c r="U70" s="11"/>
    </row>
    <row r="71" spans="2:21">
      <c r="B71" s="60" t="s">
        <v>92</v>
      </c>
      <c r="C71" s="18">
        <v>1.8392999999999999</v>
      </c>
      <c r="D71" s="136" t="s">
        <v>93</v>
      </c>
      <c r="E71" s="136"/>
      <c r="Q71"/>
      <c r="U71" s="11"/>
    </row>
    <row r="72" spans="2:21">
      <c r="B72" s="60" t="s">
        <v>94</v>
      </c>
      <c r="C72" s="18">
        <v>0.66800000000000004</v>
      </c>
      <c r="D72" s="136" t="s">
        <v>93</v>
      </c>
      <c r="E72" s="136"/>
      <c r="Q72"/>
      <c r="U72" s="11"/>
    </row>
    <row r="74" spans="2:21" ht="16.5" thickBot="1">
      <c r="B74" s="5" t="s">
        <v>95</v>
      </c>
    </row>
    <row r="75" spans="2:21" ht="16.5" thickBot="1">
      <c r="B75" s="31">
        <v>2023</v>
      </c>
      <c r="C75" s="31">
        <v>2024</v>
      </c>
      <c r="D75" s="31">
        <v>2025</v>
      </c>
      <c r="E75" s="32">
        <v>2026</v>
      </c>
      <c r="F75" s="133" t="s">
        <v>91</v>
      </c>
      <c r="G75" s="134"/>
      <c r="S75"/>
      <c r="U75" s="11"/>
    </row>
    <row r="76" spans="2:21">
      <c r="B76" s="30">
        <f>R8</f>
        <v>1.4861381128520763</v>
      </c>
      <c r="C76" s="30">
        <f>R27</f>
        <v>1.6283568877979429</v>
      </c>
      <c r="D76" s="30">
        <f>R46</f>
        <v>1.5334574047099581</v>
      </c>
      <c r="E76" s="30">
        <f>R65</f>
        <v>1.3728021157436325</v>
      </c>
      <c r="F76" s="135" t="s">
        <v>11</v>
      </c>
      <c r="G76" s="135"/>
      <c r="S76"/>
      <c r="U76" s="11"/>
    </row>
    <row r="77" spans="2:21">
      <c r="S77"/>
      <c r="U77" s="11"/>
    </row>
    <row r="78" spans="2:21" ht="16.5" thickBot="1">
      <c r="B78" s="5" t="s">
        <v>96</v>
      </c>
    </row>
    <row r="79" spans="2:21" ht="19.5" thickBot="1">
      <c r="B79" s="31" t="s">
        <v>97</v>
      </c>
      <c r="C79" s="133" t="s">
        <v>91</v>
      </c>
      <c r="D79" s="134"/>
    </row>
    <row r="80" spans="2:21">
      <c r="B80" s="14">
        <v>5.9999999999999995E-4</v>
      </c>
      <c r="C80" s="135" t="s">
        <v>93</v>
      </c>
      <c r="D80" s="135"/>
    </row>
    <row r="81" spans="2:11">
      <c r="B81" s="5"/>
    </row>
    <row r="82" spans="2:11" ht="16.5" thickBot="1">
      <c r="B82" s="5" t="s">
        <v>98</v>
      </c>
      <c r="C82" s="65"/>
      <c r="D82" s="66"/>
      <c r="E82" s="66"/>
      <c r="F82" s="66"/>
      <c r="G82" s="66"/>
      <c r="H82" s="66"/>
      <c r="I82" s="66"/>
    </row>
    <row r="83" spans="2:11" ht="16.5" thickBot="1">
      <c r="B83" s="31" t="s">
        <v>99</v>
      </c>
      <c r="C83" s="31" t="s">
        <v>100</v>
      </c>
      <c r="D83" s="120" t="s">
        <v>101</v>
      </c>
      <c r="E83" s="121"/>
      <c r="F83" s="121"/>
      <c r="G83" s="121"/>
      <c r="H83" s="121"/>
      <c r="I83" s="121"/>
      <c r="J83" s="121"/>
      <c r="K83" s="121"/>
    </row>
    <row r="84" spans="2:11" ht="15.6" customHeight="1">
      <c r="B84" s="67" t="s">
        <v>102</v>
      </c>
      <c r="C84" s="67">
        <v>1</v>
      </c>
      <c r="D84" s="117" t="s">
        <v>103</v>
      </c>
      <c r="E84" s="118"/>
      <c r="F84" s="118"/>
      <c r="G84" s="118"/>
      <c r="H84" s="118"/>
      <c r="I84" s="118"/>
      <c r="J84" s="118"/>
      <c r="K84" s="119"/>
    </row>
    <row r="85" spans="2:11" ht="16.5" customHeight="1">
      <c r="B85" s="67" t="s">
        <v>41</v>
      </c>
      <c r="C85" s="67">
        <v>28</v>
      </c>
      <c r="D85" s="122" t="s">
        <v>103</v>
      </c>
      <c r="E85" s="123"/>
      <c r="F85" s="123"/>
      <c r="G85" s="123"/>
      <c r="H85" s="123"/>
      <c r="I85" s="123"/>
      <c r="J85" s="123"/>
      <c r="K85" s="124"/>
    </row>
    <row r="86" spans="2:11" ht="16.5" customHeight="1">
      <c r="B86" s="67" t="s">
        <v>104</v>
      </c>
      <c r="C86" s="67">
        <v>265</v>
      </c>
      <c r="D86" s="122" t="s">
        <v>103</v>
      </c>
      <c r="E86" s="123"/>
      <c r="F86" s="123"/>
      <c r="G86" s="123"/>
      <c r="H86" s="123"/>
      <c r="I86" s="123"/>
      <c r="J86" s="123"/>
      <c r="K86" s="124"/>
    </row>
  </sheetData>
  <mergeCells count="28">
    <mergeCell ref="J1:K1"/>
    <mergeCell ref="R3:S3"/>
    <mergeCell ref="T3:U3"/>
    <mergeCell ref="R22:S22"/>
    <mergeCell ref="T22:U22"/>
    <mergeCell ref="R41:S41"/>
    <mergeCell ref="T41:U41"/>
    <mergeCell ref="M3:P3"/>
    <mergeCell ref="B3:K3"/>
    <mergeCell ref="D70:E70"/>
    <mergeCell ref="B41:K41"/>
    <mergeCell ref="M41:P41"/>
    <mergeCell ref="M22:P22"/>
    <mergeCell ref="B22:K22"/>
    <mergeCell ref="T60:U60"/>
    <mergeCell ref="D84:K84"/>
    <mergeCell ref="D83:K83"/>
    <mergeCell ref="D85:K85"/>
    <mergeCell ref="D86:K86"/>
    <mergeCell ref="R60:S60"/>
    <mergeCell ref="B60:K60"/>
    <mergeCell ref="M60:P60"/>
    <mergeCell ref="F75:G75"/>
    <mergeCell ref="F76:G76"/>
    <mergeCell ref="C79:D79"/>
    <mergeCell ref="C80:D80"/>
    <mergeCell ref="D72:E72"/>
    <mergeCell ref="D71:E71"/>
  </mergeCells>
  <hyperlinks>
    <hyperlink ref="D84:E86" r:id="rId1" display="Распоряжение Правительства РФ от 22.10.2021 №2979-Р" xr:uid="{3992F0CC-6765-45BC-ABAF-E9C2CEA18250}"/>
    <hyperlink ref="D85:E85" r:id="rId2" display="Распоряжение Правительства РФ от 22.10.2021 №2979-Р" xr:uid="{23AF769A-A752-4283-9E06-C22661558598}"/>
    <hyperlink ref="D86:E86" r:id="rId3" display="Распоряжение Правительства РФ от 22.10.2021 №2979-Р" xr:uid="{1D6DC6F9-4AD4-4E58-916B-730649E1F7B9}"/>
  </hyperlinks>
  <pageMargins left="0.7" right="0.7" top="0.75" bottom="0.75" header="0.3" footer="0.3"/>
  <pageSetup paperSize="8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E087-0736-4B01-A64C-F3C771E1765C}">
  <dimension ref="B1:Y84"/>
  <sheetViews>
    <sheetView showGridLines="0" zoomScale="70" zoomScaleNormal="70" workbookViewId="0">
      <pane xSplit="2" topLeftCell="C1" activePane="topRight" state="frozen"/>
      <selection pane="topRight" activeCell="Q18" sqref="Q18"/>
    </sheetView>
  </sheetViews>
  <sheetFormatPr defaultColWidth="12.42578125" defaultRowHeight="15"/>
  <cols>
    <col min="1" max="1" width="2.7109375" style="11" customWidth="1"/>
    <col min="2" max="2" width="34.85546875" style="11" customWidth="1"/>
    <col min="3" max="3" width="14.42578125" style="11" customWidth="1"/>
    <col min="4" max="4" width="17.140625" style="11" customWidth="1"/>
    <col min="5" max="5" width="10.7109375" style="11" customWidth="1"/>
    <col min="6" max="11" width="12.42578125" style="11"/>
    <col min="12" max="12" width="12.42578125" style="11" customWidth="1"/>
    <col min="13" max="21" width="12.42578125" style="11"/>
    <col min="22" max="22" width="32.5703125" style="11" customWidth="1"/>
    <col min="23" max="23" width="22.7109375" style="11" customWidth="1"/>
    <col min="24" max="24" width="28.28515625" style="11" customWidth="1"/>
    <col min="25" max="25" width="30.5703125" style="11" customWidth="1"/>
    <col min="26" max="16384" width="12.42578125" style="11"/>
  </cols>
  <sheetData>
    <row r="1" spans="2:25">
      <c r="N1" s="140" t="s">
        <v>1</v>
      </c>
      <c r="O1" s="140"/>
    </row>
    <row r="2" spans="2:25" ht="16.5" thickBot="1">
      <c r="B2" s="11" t="s">
        <v>105</v>
      </c>
      <c r="Q2" s="5" t="s">
        <v>36</v>
      </c>
      <c r="R2" s="5"/>
      <c r="S2" s="5"/>
      <c r="T2" s="5"/>
      <c r="V2" s="5" t="s">
        <v>37</v>
      </c>
      <c r="W2" s="5"/>
      <c r="X2" s="5"/>
      <c r="Y2"/>
    </row>
    <row r="3" spans="2:25" ht="19.5" thickBot="1">
      <c r="B3" s="127">
        <v>2023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9"/>
      <c r="Q3" s="130" t="s">
        <v>38</v>
      </c>
      <c r="R3" s="131"/>
      <c r="S3" s="131"/>
      <c r="T3" s="132"/>
      <c r="V3" s="141" t="s">
        <v>106</v>
      </c>
      <c r="W3" s="141"/>
      <c r="X3" s="137" t="s">
        <v>39</v>
      </c>
      <c r="Y3" s="125"/>
    </row>
    <row r="4" spans="2:25" ht="16.5" thickBot="1">
      <c r="B4" s="39" t="s">
        <v>40</v>
      </c>
      <c r="C4" s="12" t="s">
        <v>107</v>
      </c>
      <c r="D4" s="12" t="s">
        <v>108</v>
      </c>
      <c r="E4" s="12" t="s">
        <v>109</v>
      </c>
      <c r="F4" s="12" t="s">
        <v>110</v>
      </c>
      <c r="G4" s="12" t="s">
        <v>111</v>
      </c>
      <c r="H4" s="12" t="s">
        <v>112</v>
      </c>
      <c r="I4" s="12" t="s">
        <v>113</v>
      </c>
      <c r="J4" s="12" t="s">
        <v>114</v>
      </c>
      <c r="K4" s="12" t="s">
        <v>115</v>
      </c>
      <c r="L4" s="12" t="s">
        <v>116</v>
      </c>
      <c r="M4" s="142" t="s">
        <v>48</v>
      </c>
      <c r="N4" s="143"/>
      <c r="O4" s="12" t="s">
        <v>49</v>
      </c>
      <c r="Q4" s="13">
        <v>1000000</v>
      </c>
      <c r="R4" s="14" t="s">
        <v>50</v>
      </c>
      <c r="S4" s="14" t="s">
        <v>51</v>
      </c>
      <c r="T4" s="14">
        <v>0.1429</v>
      </c>
      <c r="V4" s="31" t="s">
        <v>52</v>
      </c>
      <c r="W4" s="33" t="s">
        <v>0</v>
      </c>
      <c r="X4" s="31" t="s">
        <v>52</v>
      </c>
      <c r="Y4" s="33" t="s">
        <v>0</v>
      </c>
    </row>
    <row r="5" spans="2:25" ht="19.5">
      <c r="B5" s="15" t="s">
        <v>53</v>
      </c>
      <c r="C5" s="16">
        <v>1</v>
      </c>
      <c r="D5" s="16">
        <v>2</v>
      </c>
      <c r="E5" s="16">
        <v>3</v>
      </c>
      <c r="F5" s="16">
        <v>4</v>
      </c>
      <c r="G5" s="16">
        <v>4</v>
      </c>
      <c r="H5" s="16">
        <v>5</v>
      </c>
      <c r="I5" s="16">
        <v>5</v>
      </c>
      <c r="J5" s="16">
        <v>5</v>
      </c>
      <c r="K5" s="16">
        <v>6</v>
      </c>
      <c r="L5" s="16">
        <v>1</v>
      </c>
      <c r="M5" s="16" t="s">
        <v>117</v>
      </c>
      <c r="N5" s="16" t="s">
        <v>54</v>
      </c>
      <c r="O5" s="16" t="s">
        <v>145</v>
      </c>
      <c r="Q5" s="17">
        <v>1</v>
      </c>
      <c r="R5" s="18" t="s">
        <v>51</v>
      </c>
      <c r="S5" s="18" t="s">
        <v>55</v>
      </c>
      <c r="T5" s="18">
        <v>2.9307600321999999E-2</v>
      </c>
      <c r="V5" s="29">
        <f>(L19+(SUM(C19:K19)*(1-B$78)))*$C$69*0.01</f>
        <v>1.8816825613277717</v>
      </c>
      <c r="W5" s="14" t="s">
        <v>56</v>
      </c>
      <c r="X5" s="61">
        <f>C19*$C$70*0.01*B$78</f>
        <v>3.8386953999999996E-4</v>
      </c>
      <c r="Y5" s="14" t="s">
        <v>57</v>
      </c>
    </row>
    <row r="6" spans="2:25" ht="19.5">
      <c r="B6" s="15" t="s">
        <v>58</v>
      </c>
      <c r="C6" s="27">
        <v>96.39</v>
      </c>
      <c r="D6" s="27">
        <v>1.59</v>
      </c>
      <c r="E6" s="27">
        <v>0.42299999999999999</v>
      </c>
      <c r="F6" s="27">
        <v>7.1999999999999995E-2</v>
      </c>
      <c r="G6" s="27">
        <v>7.0000000000000007E-2</v>
      </c>
      <c r="H6" s="27">
        <v>6.9999999999999999E-4</v>
      </c>
      <c r="I6" s="27">
        <v>1.66E-2</v>
      </c>
      <c r="J6" s="27">
        <v>1.0800000000000001E-2</v>
      </c>
      <c r="K6" s="27">
        <v>9.9000000000000008E-3</v>
      </c>
      <c r="L6" s="27">
        <v>0.2</v>
      </c>
      <c r="M6" s="28">
        <v>33.74</v>
      </c>
      <c r="N6" s="28">
        <v>8059</v>
      </c>
      <c r="O6" s="28">
        <v>0.69410000000000005</v>
      </c>
      <c r="Q6" s="18">
        <v>1</v>
      </c>
      <c r="R6" s="18" t="s">
        <v>59</v>
      </c>
      <c r="S6" s="18" t="s">
        <v>50</v>
      </c>
      <c r="T6" s="17">
        <f>N18*1000</f>
        <v>8084833.333333333</v>
      </c>
      <c r="V6" s="28">
        <f>V5/T7</f>
        <v>1.6287073632958953</v>
      </c>
      <c r="W6" s="18" t="s">
        <v>60</v>
      </c>
      <c r="X6" s="62">
        <f>X5/T7</f>
        <v>3.3226175296105227E-4</v>
      </c>
      <c r="Y6" s="18" t="s">
        <v>61</v>
      </c>
    </row>
    <row r="7" spans="2:25" ht="19.5">
      <c r="B7" s="15" t="s">
        <v>62</v>
      </c>
      <c r="C7" s="27">
        <v>96.36</v>
      </c>
      <c r="D7" s="27">
        <v>1.59</v>
      </c>
      <c r="E7" s="27">
        <v>0.44</v>
      </c>
      <c r="F7" s="27">
        <v>7.9000000000000001E-2</v>
      </c>
      <c r="G7" s="27">
        <v>7.5999999999999998E-2</v>
      </c>
      <c r="H7" s="27">
        <v>5.9999999999999995E-4</v>
      </c>
      <c r="I7" s="27">
        <v>1.7999999999999999E-2</v>
      </c>
      <c r="J7" s="27">
        <v>1.18E-2</v>
      </c>
      <c r="K7" s="27">
        <v>1.09E-2</v>
      </c>
      <c r="L7" s="27">
        <v>0.20300000000000001</v>
      </c>
      <c r="M7" s="28">
        <v>33.76</v>
      </c>
      <c r="N7" s="28">
        <v>8063</v>
      </c>
      <c r="O7" s="28">
        <v>0.6946</v>
      </c>
      <c r="Q7" s="18">
        <v>1</v>
      </c>
      <c r="R7" s="18" t="s">
        <v>59</v>
      </c>
      <c r="S7" s="18" t="s">
        <v>51</v>
      </c>
      <c r="T7" s="18">
        <f>T4*(T6/Q4)</f>
        <v>1.1553226833333332</v>
      </c>
      <c r="V7" s="28">
        <f>V5/T8</f>
        <v>55.572866608027681</v>
      </c>
      <c r="W7" s="18" t="s">
        <v>63</v>
      </c>
      <c r="X7" s="62">
        <f>X5/T8</f>
        <v>1.1337050775584554E-2</v>
      </c>
      <c r="Y7" s="18" t="s">
        <v>64</v>
      </c>
    </row>
    <row r="8" spans="2:25" ht="19.5">
      <c r="B8" s="15" t="s">
        <v>65</v>
      </c>
      <c r="C8" s="27">
        <v>95.94</v>
      </c>
      <c r="D8" s="27">
        <v>1.92</v>
      </c>
      <c r="E8" s="27">
        <v>0.52</v>
      </c>
      <c r="F8" s="27">
        <v>8.4000000000000005E-2</v>
      </c>
      <c r="G8" s="27">
        <v>8.2000000000000003E-2</v>
      </c>
      <c r="H8" s="27">
        <v>6.9999999999999999E-4</v>
      </c>
      <c r="I8" s="27">
        <v>1.83E-2</v>
      </c>
      <c r="J8" s="27">
        <v>1.24E-2</v>
      </c>
      <c r="K8" s="27">
        <v>1.11E-2</v>
      </c>
      <c r="L8" s="27">
        <v>0.23200000000000001</v>
      </c>
      <c r="M8" s="28">
        <v>33.9</v>
      </c>
      <c r="N8" s="28">
        <v>8097</v>
      </c>
      <c r="O8" s="28">
        <v>0.69789999999999996</v>
      </c>
      <c r="Q8" s="18">
        <v>1</v>
      </c>
      <c r="R8" s="18" t="s">
        <v>59</v>
      </c>
      <c r="S8" s="18" t="s">
        <v>55</v>
      </c>
      <c r="T8" s="18">
        <f>T5*(T7/Q5)</f>
        <v>3.3859735446073902E-2</v>
      </c>
      <c r="V8" s="28">
        <f>V5/O18</f>
        <v>2.6917710626246643</v>
      </c>
      <c r="W8" s="18" t="s">
        <v>66</v>
      </c>
      <c r="X8" s="62">
        <f>X5/O18</f>
        <v>5.49130305414491E-4</v>
      </c>
      <c r="Y8" s="18" t="s">
        <v>67</v>
      </c>
    </row>
    <row r="9" spans="2:25">
      <c r="B9" s="15" t="s">
        <v>68</v>
      </c>
      <c r="C9" s="27">
        <v>95.84</v>
      </c>
      <c r="D9" s="27">
        <v>1.92</v>
      </c>
      <c r="E9" s="27">
        <v>0.51</v>
      </c>
      <c r="F9" s="27">
        <v>7.8E-2</v>
      </c>
      <c r="G9" s="27">
        <v>7.8E-2</v>
      </c>
      <c r="H9" s="27">
        <v>7.6000000000000004E-4</v>
      </c>
      <c r="I9" s="27">
        <v>1.7899999999999999E-2</v>
      </c>
      <c r="J9" s="27">
        <v>1.26E-2</v>
      </c>
      <c r="K9" s="27">
        <v>1.11E-2</v>
      </c>
      <c r="L9" s="27">
        <v>0.26500000000000001</v>
      </c>
      <c r="M9" s="28">
        <v>33.85</v>
      </c>
      <c r="N9" s="28">
        <v>8085</v>
      </c>
      <c r="O9" s="28">
        <v>0.69869999999999999</v>
      </c>
    </row>
    <row r="10" spans="2:25">
      <c r="B10" s="15" t="s">
        <v>69</v>
      </c>
      <c r="C10" s="27">
        <v>95.52</v>
      </c>
      <c r="D10" s="27">
        <v>1.92</v>
      </c>
      <c r="E10" s="27">
        <v>0.55000000000000004</v>
      </c>
      <c r="F10" s="27">
        <v>0.1</v>
      </c>
      <c r="G10" s="27">
        <v>9.6000000000000002E-2</v>
      </c>
      <c r="H10" s="27">
        <v>1.1000000000000001E-3</v>
      </c>
      <c r="I10" s="27">
        <v>2.7699999999999999E-2</v>
      </c>
      <c r="J10" s="27">
        <v>1.8200000000000001E-2</v>
      </c>
      <c r="K10" s="27">
        <v>1.47E-2</v>
      </c>
      <c r="L10" s="27">
        <v>0.33900000000000002</v>
      </c>
      <c r="M10" s="28">
        <v>33.840000000000003</v>
      </c>
      <c r="N10" s="28">
        <v>8082</v>
      </c>
      <c r="O10" s="28">
        <v>0.7016</v>
      </c>
    </row>
    <row r="11" spans="2:25">
      <c r="B11" s="15" t="s">
        <v>70</v>
      </c>
      <c r="C11" s="27">
        <v>95.21</v>
      </c>
      <c r="D11" s="27">
        <v>2.11</v>
      </c>
      <c r="E11" s="27">
        <v>0.54</v>
      </c>
      <c r="F11" s="27">
        <v>7.9000000000000001E-2</v>
      </c>
      <c r="G11" s="27">
        <v>0.08</v>
      </c>
      <c r="H11" s="27">
        <v>8.3000000000000001E-4</v>
      </c>
      <c r="I11" s="27">
        <v>2.3E-2</v>
      </c>
      <c r="J11" s="27">
        <v>1.8100000000000002E-2</v>
      </c>
      <c r="K11" s="27">
        <v>1.18E-2</v>
      </c>
      <c r="L11" s="27">
        <v>0.43</v>
      </c>
      <c r="M11" s="28">
        <v>33.79</v>
      </c>
      <c r="N11" s="28">
        <v>8071</v>
      </c>
      <c r="O11" s="28">
        <v>0.70330000000000004</v>
      </c>
    </row>
    <row r="12" spans="2:25">
      <c r="B12" s="15" t="s">
        <v>71</v>
      </c>
      <c r="C12" s="27">
        <v>95.63</v>
      </c>
      <c r="D12" s="27">
        <v>1.9</v>
      </c>
      <c r="E12" s="27">
        <v>0.51</v>
      </c>
      <c r="F12" s="27">
        <v>0.09</v>
      </c>
      <c r="G12" s="27">
        <v>8.5999999999999993E-2</v>
      </c>
      <c r="H12" s="27">
        <v>5.0000000000000001E-3</v>
      </c>
      <c r="I12" s="27">
        <v>2.1299999999999999E-2</v>
      </c>
      <c r="J12" s="27">
        <v>1.43E-2</v>
      </c>
      <c r="K12" s="27">
        <v>8.5000000000000006E-3</v>
      </c>
      <c r="L12" s="27">
        <v>0.30499999999999999</v>
      </c>
      <c r="M12" s="28">
        <v>33.79</v>
      </c>
      <c r="N12" s="28">
        <v>8071</v>
      </c>
      <c r="O12" s="28">
        <v>0.7</v>
      </c>
    </row>
    <row r="13" spans="2:25">
      <c r="B13" s="15" t="s">
        <v>72</v>
      </c>
      <c r="C13" s="27">
        <v>95.8</v>
      </c>
      <c r="D13" s="27">
        <v>1.84</v>
      </c>
      <c r="E13" s="27">
        <v>0.47</v>
      </c>
      <c r="F13" s="27">
        <v>7.5999999999999998E-2</v>
      </c>
      <c r="G13" s="27">
        <v>7.1999999999999995E-2</v>
      </c>
      <c r="H13" s="27">
        <v>5.0000000000000001E-3</v>
      </c>
      <c r="I13" s="27">
        <v>1.7999999999999999E-2</v>
      </c>
      <c r="J13" s="27">
        <v>1.29E-2</v>
      </c>
      <c r="K13" s="27">
        <v>9.1999999999999998E-3</v>
      </c>
      <c r="L13" s="27">
        <v>0.29399999999999998</v>
      </c>
      <c r="M13" s="28">
        <v>33.74</v>
      </c>
      <c r="N13" s="28">
        <v>8059</v>
      </c>
      <c r="O13" s="28">
        <v>0.69830000000000003</v>
      </c>
    </row>
    <row r="14" spans="2:25">
      <c r="B14" s="15" t="s">
        <v>73</v>
      </c>
      <c r="C14" s="27">
        <v>95.17</v>
      </c>
      <c r="D14" s="27">
        <v>2.4</v>
      </c>
      <c r="E14" s="27">
        <v>0.63</v>
      </c>
      <c r="F14" s="27">
        <v>9.8000000000000004E-2</v>
      </c>
      <c r="G14" s="27">
        <v>8.6999999999999994E-2</v>
      </c>
      <c r="H14" s="27">
        <v>5.0000000000000001E-3</v>
      </c>
      <c r="I14" s="27">
        <v>1.9900000000000001E-2</v>
      </c>
      <c r="J14" s="27">
        <v>1.2999999999999999E-2</v>
      </c>
      <c r="K14" s="27">
        <v>1.24E-2</v>
      </c>
      <c r="L14" s="27">
        <v>0.33</v>
      </c>
      <c r="M14" s="28">
        <v>34.049999999999997</v>
      </c>
      <c r="N14" s="28">
        <v>8133</v>
      </c>
      <c r="O14" s="28">
        <v>0.70389999999999997</v>
      </c>
    </row>
    <row r="15" spans="2:25">
      <c r="B15" s="15" t="s">
        <v>74</v>
      </c>
      <c r="C15" s="27">
        <v>95.84</v>
      </c>
      <c r="D15" s="27">
        <v>1.87</v>
      </c>
      <c r="E15" s="27">
        <v>0.5</v>
      </c>
      <c r="F15" s="27">
        <v>8.2000000000000003E-2</v>
      </c>
      <c r="G15" s="27">
        <v>7.8E-2</v>
      </c>
      <c r="H15" s="27">
        <v>5.0000000000000001E-3</v>
      </c>
      <c r="I15" s="27">
        <v>1.9699999999999999E-2</v>
      </c>
      <c r="J15" s="27">
        <v>1.2999999999999999E-2</v>
      </c>
      <c r="K15" s="27">
        <v>1.3299999999999999E-2</v>
      </c>
      <c r="L15" s="27">
        <v>0.28100000000000003</v>
      </c>
      <c r="M15" s="28">
        <v>33.823999999999998</v>
      </c>
      <c r="N15" s="28">
        <v>8079</v>
      </c>
      <c r="O15" s="28">
        <v>0.6986</v>
      </c>
    </row>
    <row r="16" spans="2:25">
      <c r="B16" s="15" t="s">
        <v>75</v>
      </c>
      <c r="C16" s="27">
        <v>95.77</v>
      </c>
      <c r="D16" s="27">
        <v>2.0299999999999998</v>
      </c>
      <c r="E16" s="27">
        <v>0.53</v>
      </c>
      <c r="F16" s="27">
        <v>8.5999999999999993E-2</v>
      </c>
      <c r="G16" s="27">
        <v>8.2000000000000003E-2</v>
      </c>
      <c r="H16" s="27">
        <v>5.0000000000000001E-3</v>
      </c>
      <c r="I16" s="27">
        <v>1.9900000000000001E-2</v>
      </c>
      <c r="J16" s="27">
        <v>1.34E-2</v>
      </c>
      <c r="K16" s="27">
        <v>1.2500000000000001E-2</v>
      </c>
      <c r="L16" s="27">
        <v>0.25600000000000001</v>
      </c>
      <c r="M16" s="28">
        <v>33.923000000000002</v>
      </c>
      <c r="N16" s="28">
        <v>8102</v>
      </c>
      <c r="O16" s="28">
        <v>0.69920000000000004</v>
      </c>
    </row>
    <row r="17" spans="2:25">
      <c r="B17" s="15" t="s">
        <v>76</v>
      </c>
      <c r="C17" s="27">
        <v>95.84</v>
      </c>
      <c r="D17" s="27">
        <v>2.1</v>
      </c>
      <c r="E17" s="27">
        <v>0.54</v>
      </c>
      <c r="F17" s="27">
        <v>8.3000000000000004E-2</v>
      </c>
      <c r="G17" s="27">
        <v>0.08</v>
      </c>
      <c r="H17" s="27">
        <v>5.0000000000000001E-3</v>
      </c>
      <c r="I17" s="27">
        <v>1.66E-2</v>
      </c>
      <c r="J17" s="27">
        <v>1.09E-2</v>
      </c>
      <c r="K17" s="27">
        <v>9.4999999999999998E-3</v>
      </c>
      <c r="L17" s="27">
        <v>0.20200000000000001</v>
      </c>
      <c r="M17" s="28">
        <v>33.984999999999999</v>
      </c>
      <c r="N17" s="28">
        <v>8117</v>
      </c>
      <c r="O17" s="28">
        <v>0.69840000000000002</v>
      </c>
      <c r="Q17" s="19"/>
    </row>
    <row r="18" spans="2:25">
      <c r="B18" s="34" t="s">
        <v>77</v>
      </c>
      <c r="C18" s="35">
        <f>AVERAGE(C6:C17)</f>
        <v>95.775833333333324</v>
      </c>
      <c r="D18" s="35">
        <f t="shared" ref="D18:O18" si="0">AVERAGE(D6:D17)</f>
        <v>1.9325000000000001</v>
      </c>
      <c r="E18" s="35">
        <f t="shared" si="0"/>
        <v>0.51358333333333339</v>
      </c>
      <c r="F18" s="35">
        <f t="shared" si="0"/>
        <v>8.3916666666666653E-2</v>
      </c>
      <c r="G18" s="35">
        <f t="shared" si="0"/>
        <v>8.0583333333333326E-2</v>
      </c>
      <c r="H18" s="35">
        <f t="shared" si="0"/>
        <v>2.8908333333333338E-3</v>
      </c>
      <c r="I18" s="35">
        <f t="shared" si="0"/>
        <v>1.9741666666666664E-2</v>
      </c>
      <c r="J18" s="35">
        <f t="shared" si="0"/>
        <v>1.3449999999999998E-2</v>
      </c>
      <c r="K18" s="35">
        <f t="shared" si="0"/>
        <v>1.1241666666666665E-2</v>
      </c>
      <c r="L18" s="35">
        <f t="shared" si="0"/>
        <v>0.27808333333333329</v>
      </c>
      <c r="M18" s="35">
        <f t="shared" si="0"/>
        <v>33.849333333333334</v>
      </c>
      <c r="N18" s="35">
        <f t="shared" si="0"/>
        <v>8084.833333333333</v>
      </c>
      <c r="O18" s="35">
        <f t="shared" si="0"/>
        <v>0.69905000000000006</v>
      </c>
      <c r="P18" s="19"/>
      <c r="Q18" s="19"/>
    </row>
    <row r="19" spans="2:25">
      <c r="B19" s="34" t="s">
        <v>78</v>
      </c>
      <c r="C19" s="36">
        <f>C18*C5</f>
        <v>95.775833333333324</v>
      </c>
      <c r="D19" s="36">
        <f t="shared" ref="D19:L19" si="1">D18*D5</f>
        <v>3.8650000000000002</v>
      </c>
      <c r="E19" s="36">
        <f t="shared" si="1"/>
        <v>1.5407500000000001</v>
      </c>
      <c r="F19" s="36">
        <f t="shared" si="1"/>
        <v>0.33566666666666661</v>
      </c>
      <c r="G19" s="36">
        <f t="shared" si="1"/>
        <v>0.32233333333333331</v>
      </c>
      <c r="H19" s="36">
        <f t="shared" si="1"/>
        <v>1.4454166666666669E-2</v>
      </c>
      <c r="I19" s="36">
        <f t="shared" si="1"/>
        <v>9.8708333333333315E-2</v>
      </c>
      <c r="J19" s="36">
        <f t="shared" si="1"/>
        <v>6.724999999999999E-2</v>
      </c>
      <c r="K19" s="36">
        <f t="shared" si="1"/>
        <v>6.7449999999999996E-2</v>
      </c>
      <c r="L19" s="36">
        <f t="shared" si="1"/>
        <v>0.27808333333333329</v>
      </c>
      <c r="M19" s="37"/>
      <c r="N19" s="38"/>
      <c r="O19" s="38"/>
      <c r="P19" s="19"/>
      <c r="Q19" s="19"/>
    </row>
    <row r="20" spans="2:2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19"/>
      <c r="T20" s="19"/>
    </row>
    <row r="21" spans="2:25" ht="15.75" thickBot="1">
      <c r="B21" s="11" t="s">
        <v>118</v>
      </c>
      <c r="Q21" s="5" t="s">
        <v>80</v>
      </c>
      <c r="R21" s="5"/>
      <c r="S21" s="5"/>
      <c r="T21" s="5"/>
      <c r="V21" s="5" t="s">
        <v>81</v>
      </c>
    </row>
    <row r="22" spans="2:25" ht="19.5" thickBot="1">
      <c r="B22" s="127">
        <v>2024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9"/>
      <c r="Q22" s="130" t="s">
        <v>38</v>
      </c>
      <c r="R22" s="131"/>
      <c r="S22" s="131"/>
      <c r="T22" s="132"/>
      <c r="V22" s="141" t="s">
        <v>106</v>
      </c>
      <c r="W22" s="141"/>
      <c r="X22" s="137" t="s">
        <v>39</v>
      </c>
      <c r="Y22" s="125"/>
    </row>
    <row r="23" spans="2:25" ht="16.5" thickBot="1">
      <c r="B23" s="39" t="s">
        <v>40</v>
      </c>
      <c r="C23" s="12" t="s">
        <v>107</v>
      </c>
      <c r="D23" s="12" t="s">
        <v>108</v>
      </c>
      <c r="E23" s="12" t="s">
        <v>109</v>
      </c>
      <c r="F23" s="12" t="s">
        <v>110</v>
      </c>
      <c r="G23" s="12" t="s">
        <v>111</v>
      </c>
      <c r="H23" s="12" t="s">
        <v>112</v>
      </c>
      <c r="I23" s="12" t="s">
        <v>113</v>
      </c>
      <c r="J23" s="12" t="s">
        <v>114</v>
      </c>
      <c r="K23" s="12" t="s">
        <v>115</v>
      </c>
      <c r="L23" s="12" t="s">
        <v>116</v>
      </c>
      <c r="M23" s="142" t="s">
        <v>48</v>
      </c>
      <c r="N23" s="143"/>
      <c r="O23" s="12" t="s">
        <v>49</v>
      </c>
      <c r="Q23" s="13">
        <v>1000000</v>
      </c>
      <c r="R23" s="14" t="s">
        <v>50</v>
      </c>
      <c r="S23" s="14" t="s">
        <v>51</v>
      </c>
      <c r="T23" s="14">
        <v>0.1429</v>
      </c>
      <c r="V23" s="31" t="s">
        <v>52</v>
      </c>
      <c r="W23" s="33" t="s">
        <v>0</v>
      </c>
      <c r="X23" s="31" t="s">
        <v>52</v>
      </c>
      <c r="Y23" s="33" t="s">
        <v>0</v>
      </c>
    </row>
    <row r="24" spans="2:25" ht="19.5">
      <c r="B24" s="15" t="s">
        <v>53</v>
      </c>
      <c r="C24" s="16">
        <v>1</v>
      </c>
      <c r="D24" s="16">
        <v>2</v>
      </c>
      <c r="E24" s="16">
        <v>3</v>
      </c>
      <c r="F24" s="16">
        <v>4</v>
      </c>
      <c r="G24" s="16">
        <v>4</v>
      </c>
      <c r="H24" s="16">
        <v>5</v>
      </c>
      <c r="I24" s="16">
        <v>5</v>
      </c>
      <c r="J24" s="16">
        <v>5</v>
      </c>
      <c r="K24" s="16">
        <v>6</v>
      </c>
      <c r="L24" s="16">
        <v>1</v>
      </c>
      <c r="M24" s="16" t="s">
        <v>117</v>
      </c>
      <c r="N24" s="16" t="s">
        <v>54</v>
      </c>
      <c r="O24" s="16" t="s">
        <v>145</v>
      </c>
      <c r="Q24" s="17">
        <v>1</v>
      </c>
      <c r="R24" s="18" t="s">
        <v>51</v>
      </c>
      <c r="S24" s="18" t="s">
        <v>55</v>
      </c>
      <c r="T24" s="18">
        <v>2.9307600321999999E-2</v>
      </c>
      <c r="V24" s="29">
        <f>(L38+(SUM(C38:K38)*(1-B$78)))*$C$69*0.01</f>
        <v>1.8888208008629852</v>
      </c>
      <c r="W24" s="14" t="s">
        <v>56</v>
      </c>
      <c r="X24" s="61">
        <f>C38*$C$70*0.01*B$78</f>
        <v>3.8355558000000001E-4</v>
      </c>
      <c r="Y24" s="14" t="s">
        <v>57</v>
      </c>
    </row>
    <row r="25" spans="2:25" ht="19.5">
      <c r="B25" s="15" t="s">
        <v>58</v>
      </c>
      <c r="C25" s="27">
        <v>95.62</v>
      </c>
      <c r="D25" s="27">
        <v>2.25</v>
      </c>
      <c r="E25" s="27">
        <v>0.6</v>
      </c>
      <c r="F25" s="27">
        <v>0.09</v>
      </c>
      <c r="G25" s="27">
        <v>8.5999999999999993E-2</v>
      </c>
      <c r="H25" s="27">
        <v>5.0000000000000001E-3</v>
      </c>
      <c r="I25" s="27">
        <v>1.8499999999999999E-2</v>
      </c>
      <c r="J25" s="27">
        <v>1.2699999999999999E-2</v>
      </c>
      <c r="K25" s="27">
        <v>1.01E-2</v>
      </c>
      <c r="L25" s="27">
        <v>0.21299999999999999</v>
      </c>
      <c r="M25" s="28">
        <v>34.072000000000003</v>
      </c>
      <c r="N25" s="28">
        <v>8198</v>
      </c>
      <c r="O25" s="28">
        <v>0.70040000000000002</v>
      </c>
      <c r="Q25" s="18">
        <v>1</v>
      </c>
      <c r="R25" s="18" t="s">
        <v>59</v>
      </c>
      <c r="S25" s="18" t="s">
        <v>50</v>
      </c>
      <c r="T25" s="17">
        <f>N37*1000</f>
        <v>8111333.333333333</v>
      </c>
      <c r="V25" s="28">
        <f>V24/T26</f>
        <v>1.6295447035373523</v>
      </c>
      <c r="W25" s="18" t="s">
        <v>60</v>
      </c>
      <c r="X25" s="62">
        <f>X24/T26</f>
        <v>3.3090537949160171E-4</v>
      </c>
      <c r="Y25" s="18" t="s">
        <v>61</v>
      </c>
    </row>
    <row r="26" spans="2:25" ht="15.95" customHeight="1">
      <c r="B26" s="15" t="s">
        <v>62</v>
      </c>
      <c r="C26" s="27">
        <v>96.08</v>
      </c>
      <c r="D26" s="27">
        <v>1.79</v>
      </c>
      <c r="E26" s="27">
        <v>0.53</v>
      </c>
      <c r="F26" s="27">
        <v>8.5000000000000006E-2</v>
      </c>
      <c r="G26" s="27">
        <v>8.7999999999999995E-2</v>
      </c>
      <c r="H26" s="27">
        <v>5.0000000000000001E-3</v>
      </c>
      <c r="I26" s="27">
        <v>2.06E-2</v>
      </c>
      <c r="J26" s="27">
        <v>1.4200000000000001E-2</v>
      </c>
      <c r="K26" s="27">
        <v>1.1900000000000001E-2</v>
      </c>
      <c r="L26" s="27">
        <v>1.6400000000000001E-2</v>
      </c>
      <c r="M26" s="28">
        <v>33.9</v>
      </c>
      <c r="N26" s="28">
        <v>8097</v>
      </c>
      <c r="O26" s="28">
        <v>0.69730000000000003</v>
      </c>
      <c r="Q26" s="18">
        <v>1</v>
      </c>
      <c r="R26" s="18" t="s">
        <v>59</v>
      </c>
      <c r="S26" s="18" t="s">
        <v>51</v>
      </c>
      <c r="T26" s="18">
        <f>T23*(T25/Q23)</f>
        <v>1.1591095333333332</v>
      </c>
      <c r="V26" s="28">
        <f>V24/T27</f>
        <v>55.601437362107077</v>
      </c>
      <c r="W26" s="18" t="s">
        <v>63</v>
      </c>
      <c r="X26" s="62">
        <f>X24/T27</f>
        <v>1.1290770170739798E-2</v>
      </c>
      <c r="Y26" s="18" t="s">
        <v>64</v>
      </c>
    </row>
    <row r="27" spans="2:25" ht="19.5">
      <c r="B27" s="15" t="s">
        <v>65</v>
      </c>
      <c r="C27" s="27">
        <v>95.93</v>
      </c>
      <c r="D27" s="27">
        <v>1.91</v>
      </c>
      <c r="E27" s="27">
        <v>0.52</v>
      </c>
      <c r="F27" s="27">
        <v>9.0999999999999998E-2</v>
      </c>
      <c r="G27" s="27">
        <v>8.5000000000000006E-2</v>
      </c>
      <c r="H27" s="27">
        <v>5.0000000000000001E-3</v>
      </c>
      <c r="I27" s="27">
        <v>2.0799999999999999E-2</v>
      </c>
      <c r="J27" s="27">
        <v>1.4200000000000001E-2</v>
      </c>
      <c r="K27" s="27">
        <v>1.2500000000000001E-2</v>
      </c>
      <c r="L27" s="27">
        <v>0.23799999999999999</v>
      </c>
      <c r="M27" s="28">
        <v>33.908000000000001</v>
      </c>
      <c r="N27" s="28">
        <v>8099</v>
      </c>
      <c r="O27" s="28">
        <v>0.69830000000000003</v>
      </c>
      <c r="Q27" s="18">
        <v>1</v>
      </c>
      <c r="R27" s="18" t="s">
        <v>59</v>
      </c>
      <c r="S27" s="18" t="s">
        <v>55</v>
      </c>
      <c r="T27" s="18">
        <f>T24*(T26/Q24)</f>
        <v>3.3970718932353268E-2</v>
      </c>
      <c r="V27" s="28">
        <f>V24/O37</f>
        <v>2.6963894373490156</v>
      </c>
      <c r="W27" s="18" t="s">
        <v>66</v>
      </c>
      <c r="X27" s="62">
        <f>X24/O37</f>
        <v>5.4754543897216285E-4</v>
      </c>
      <c r="Y27" s="18" t="s">
        <v>67</v>
      </c>
    </row>
    <row r="28" spans="2:25">
      <c r="B28" s="15" t="s">
        <v>68</v>
      </c>
      <c r="C28" s="27">
        <v>95.72</v>
      </c>
      <c r="D28" s="27">
        <v>1.98</v>
      </c>
      <c r="E28" s="27">
        <v>0.54</v>
      </c>
      <c r="F28" s="27">
        <v>9.1999999999999998E-2</v>
      </c>
      <c r="G28" s="27">
        <v>0.09</v>
      </c>
      <c r="H28" s="27">
        <v>5.0000000000000001E-3</v>
      </c>
      <c r="I28" s="27">
        <v>2.2200000000000001E-2</v>
      </c>
      <c r="J28" s="27">
        <v>1.4200000000000001E-2</v>
      </c>
      <c r="K28" s="27">
        <v>1.12E-2</v>
      </c>
      <c r="L28" s="27">
        <v>0.27</v>
      </c>
      <c r="M28" s="28">
        <v>33.905000000000001</v>
      </c>
      <c r="N28" s="28">
        <v>8098</v>
      </c>
      <c r="O28" s="28">
        <v>0.69979999999999998</v>
      </c>
    </row>
    <row r="29" spans="2:25">
      <c r="B29" s="15" t="s">
        <v>69</v>
      </c>
      <c r="C29" s="27">
        <v>95.38</v>
      </c>
      <c r="D29" s="27">
        <v>2.12</v>
      </c>
      <c r="E29" s="27">
        <v>0.63</v>
      </c>
      <c r="F29" s="27">
        <v>0.10100000000000001</v>
      </c>
      <c r="G29" s="27">
        <v>0.10299999999999999</v>
      </c>
      <c r="H29" s="27">
        <v>5.0000000000000001E-3</v>
      </c>
      <c r="I29" s="27">
        <v>2.5600000000000001E-2</v>
      </c>
      <c r="J29" s="27">
        <v>1.6500000000000001E-2</v>
      </c>
      <c r="K29" s="27">
        <v>1.46E-2</v>
      </c>
      <c r="L29" s="27">
        <v>0.316</v>
      </c>
      <c r="M29" s="28">
        <v>33.984999999999999</v>
      </c>
      <c r="N29" s="28">
        <v>8057</v>
      </c>
      <c r="O29" s="28">
        <v>0.70289999999999997</v>
      </c>
    </row>
    <row r="30" spans="2:25">
      <c r="B30" s="15" t="s">
        <v>70</v>
      </c>
      <c r="C30" s="27">
        <v>96</v>
      </c>
      <c r="D30" s="27">
        <v>1.58</v>
      </c>
      <c r="E30" s="27">
        <v>0.56000000000000005</v>
      </c>
      <c r="F30" s="27">
        <v>0.104</v>
      </c>
      <c r="G30" s="27">
        <v>0.112</v>
      </c>
      <c r="H30" s="27">
        <v>5.0000000000000001E-3</v>
      </c>
      <c r="I30" s="27">
        <v>0.03</v>
      </c>
      <c r="J30" s="27">
        <v>1.95E-2</v>
      </c>
      <c r="K30" s="27">
        <v>1.83E-2</v>
      </c>
      <c r="L30" s="27">
        <v>0.23599999999999999</v>
      </c>
      <c r="M30" s="28">
        <v>33.843000000000004</v>
      </c>
      <c r="N30" s="28">
        <v>8084</v>
      </c>
      <c r="O30" s="28">
        <v>0.69879999999999998</v>
      </c>
    </row>
    <row r="31" spans="2:25">
      <c r="B31" s="15" t="s">
        <v>71</v>
      </c>
      <c r="C31" s="27">
        <v>95.54</v>
      </c>
      <c r="D31" s="27">
        <v>1.99</v>
      </c>
      <c r="E31" s="27">
        <v>0.57999999999999996</v>
      </c>
      <c r="F31" s="27">
        <v>0.104</v>
      </c>
      <c r="G31" s="27">
        <v>0.111</v>
      </c>
      <c r="H31" s="27">
        <v>5.0000000000000001E-3</v>
      </c>
      <c r="I31" s="27">
        <v>2.8299999999999999E-2</v>
      </c>
      <c r="J31" s="27">
        <v>1.8100000000000002E-2</v>
      </c>
      <c r="K31" s="27">
        <v>1.6199999999999999E-2</v>
      </c>
      <c r="L31" s="27">
        <v>0.32100000000000001</v>
      </c>
      <c r="M31" s="28">
        <v>33.942999999999998</v>
      </c>
      <c r="N31" s="28">
        <v>8107</v>
      </c>
      <c r="O31" s="28">
        <v>0.70199999999999996</v>
      </c>
    </row>
    <row r="32" spans="2:25">
      <c r="B32" s="15" t="s">
        <v>72</v>
      </c>
      <c r="C32" s="27">
        <v>95.59</v>
      </c>
      <c r="D32" s="27">
        <v>1.92</v>
      </c>
      <c r="E32" s="27">
        <v>0.56000000000000005</v>
      </c>
      <c r="F32" s="27">
        <v>9.8000000000000004E-2</v>
      </c>
      <c r="G32" s="27">
        <v>0.106</v>
      </c>
      <c r="H32" s="27">
        <v>5.0000000000000001E-3</v>
      </c>
      <c r="I32" s="27">
        <v>2.5999999999999999E-2</v>
      </c>
      <c r="J32" s="27">
        <v>1.7999999999999999E-2</v>
      </c>
      <c r="K32" s="27">
        <v>1.41E-2</v>
      </c>
      <c r="L32" s="27">
        <v>0.32700000000000001</v>
      </c>
      <c r="M32" s="28">
        <v>33.884</v>
      </c>
      <c r="N32" s="28">
        <v>8093</v>
      </c>
      <c r="O32" s="28">
        <v>0.70140000000000002</v>
      </c>
    </row>
    <row r="33" spans="2:25">
      <c r="B33" s="15" t="s">
        <v>73</v>
      </c>
      <c r="C33" s="27">
        <v>95.37</v>
      </c>
      <c r="D33" s="27">
        <v>2.0699999999999998</v>
      </c>
      <c r="E33" s="27">
        <v>0.69</v>
      </c>
      <c r="F33" s="27">
        <v>0.111</v>
      </c>
      <c r="G33" s="27">
        <v>0.115</v>
      </c>
      <c r="H33" s="27">
        <v>5.0000000000000001E-3</v>
      </c>
      <c r="I33" s="27">
        <v>2.6700000000000002E-2</v>
      </c>
      <c r="J33" s="27">
        <v>1.9199999999999998E-2</v>
      </c>
      <c r="K33" s="27">
        <v>1.6799999999999999E-2</v>
      </c>
      <c r="L33" s="27">
        <v>0.311</v>
      </c>
      <c r="M33" s="28">
        <v>34.040999999999997</v>
      </c>
      <c r="N33" s="28">
        <v>8131</v>
      </c>
      <c r="O33" s="28">
        <v>0.70379999999999998</v>
      </c>
    </row>
    <row r="34" spans="2:25">
      <c r="B34" s="15" t="s">
        <v>74</v>
      </c>
      <c r="C34" s="27">
        <v>95.75</v>
      </c>
      <c r="D34" s="27">
        <v>1.92</v>
      </c>
      <c r="E34" s="27">
        <v>0.56000000000000005</v>
      </c>
      <c r="F34" s="27">
        <v>0.10100000000000001</v>
      </c>
      <c r="G34" s="27">
        <v>0.10199999999999999</v>
      </c>
      <c r="H34" s="27">
        <v>5.0000000000000001E-3</v>
      </c>
      <c r="I34" s="27">
        <v>2.3400000000000001E-2</v>
      </c>
      <c r="J34" s="27">
        <v>1.7299999999999999E-2</v>
      </c>
      <c r="K34" s="27">
        <v>1.66E-2</v>
      </c>
      <c r="L34" s="27">
        <v>0.27500000000000002</v>
      </c>
      <c r="M34" s="28">
        <v>33.936</v>
      </c>
      <c r="N34" s="28">
        <v>8105</v>
      </c>
      <c r="O34" s="28">
        <v>0.70020000000000004</v>
      </c>
    </row>
    <row r="35" spans="2:25">
      <c r="B35" s="15" t="s">
        <v>75</v>
      </c>
      <c r="C35" s="27">
        <v>95.71</v>
      </c>
      <c r="D35" s="27">
        <v>2.0699999999999998</v>
      </c>
      <c r="E35" s="27">
        <v>0.6</v>
      </c>
      <c r="F35" s="27">
        <v>0.10299999999999999</v>
      </c>
      <c r="G35" s="27">
        <v>0.104</v>
      </c>
      <c r="H35" s="27">
        <v>5.0000000000000001E-3</v>
      </c>
      <c r="I35" s="27">
        <v>2.2200000000000001E-2</v>
      </c>
      <c r="J35" s="27">
        <v>1.66E-2</v>
      </c>
      <c r="K35" s="27">
        <v>1.49E-2</v>
      </c>
      <c r="L35" s="27">
        <v>0.23200000000000001</v>
      </c>
      <c r="M35" s="28">
        <v>34.037999999999997</v>
      </c>
      <c r="N35" s="28">
        <v>8130</v>
      </c>
      <c r="O35" s="28">
        <v>0.70050000000000001</v>
      </c>
    </row>
    <row r="36" spans="2:25">
      <c r="B36" s="15" t="s">
        <v>76</v>
      </c>
      <c r="C36" s="27">
        <v>95.68</v>
      </c>
      <c r="D36" s="27">
        <v>2.15</v>
      </c>
      <c r="E36" s="27">
        <v>0.61</v>
      </c>
      <c r="F36" s="27">
        <v>0.1</v>
      </c>
      <c r="G36" s="27">
        <v>0.10100000000000001</v>
      </c>
      <c r="H36" s="27">
        <v>5.0000000000000001E-3</v>
      </c>
      <c r="I36" s="27">
        <v>2.1700000000000001E-2</v>
      </c>
      <c r="J36" s="27">
        <v>1.4800000000000001E-2</v>
      </c>
      <c r="K36" s="27">
        <v>1.09E-2</v>
      </c>
      <c r="L36" s="27">
        <v>0.23400000000000001</v>
      </c>
      <c r="M36" s="28">
        <v>34.067999999999998</v>
      </c>
      <c r="N36" s="28">
        <v>8137</v>
      </c>
      <c r="O36" s="28">
        <v>0.7006</v>
      </c>
    </row>
    <row r="37" spans="2:25">
      <c r="B37" s="34" t="s">
        <v>77</v>
      </c>
      <c r="C37" s="35">
        <f>AVERAGE(C25:C36)</f>
        <v>95.697500000000005</v>
      </c>
      <c r="D37" s="35">
        <f t="shared" ref="D37" si="2">AVERAGE(D25:D36)</f>
        <v>1.9791666666666667</v>
      </c>
      <c r="E37" s="35">
        <f t="shared" ref="E37" si="3">AVERAGE(E25:E36)</f>
        <v>0.58166666666666667</v>
      </c>
      <c r="F37" s="35">
        <f t="shared" ref="F37" si="4">AVERAGE(F25:F36)</f>
        <v>9.8333333333333328E-2</v>
      </c>
      <c r="G37" s="35">
        <f t="shared" ref="G37" si="5">AVERAGE(G25:G36)</f>
        <v>0.10024999999999999</v>
      </c>
      <c r="H37" s="35">
        <f t="shared" ref="H37" si="6">AVERAGE(H25:H36)</f>
        <v>4.9999999999999992E-3</v>
      </c>
      <c r="I37" s="35">
        <f t="shared" ref="I37" si="7">AVERAGE(I25:I36)</f>
        <v>2.3833333333333331E-2</v>
      </c>
      <c r="J37" s="35">
        <f t="shared" ref="J37" si="8">AVERAGE(J25:J36)</f>
        <v>1.6275000000000001E-2</v>
      </c>
      <c r="K37" s="35">
        <f t="shared" ref="K37" si="9">AVERAGE(K25:K36)</f>
        <v>1.4008333333333333E-2</v>
      </c>
      <c r="L37" s="35">
        <f>AVERAGE(L25:L36)</f>
        <v>0.24911666666666668</v>
      </c>
      <c r="M37" s="35">
        <f>AVERAGE(M25:M36)</f>
        <v>33.960250000000002</v>
      </c>
      <c r="N37" s="35">
        <f t="shared" ref="N37" si="10">AVERAGE(N25:N36)</f>
        <v>8111.333333333333</v>
      </c>
      <c r="O37" s="35">
        <f t="shared" ref="O37" si="11">AVERAGE(O25:O36)</f>
        <v>0.7004999999999999</v>
      </c>
    </row>
    <row r="38" spans="2:25">
      <c r="B38" s="34" t="s">
        <v>78</v>
      </c>
      <c r="C38" s="36">
        <f>C37*C24</f>
        <v>95.697500000000005</v>
      </c>
      <c r="D38" s="36">
        <f t="shared" ref="D38" si="12">D37*D24</f>
        <v>3.9583333333333335</v>
      </c>
      <c r="E38" s="36">
        <f t="shared" ref="E38" si="13">E37*E24</f>
        <v>1.7450000000000001</v>
      </c>
      <c r="F38" s="36">
        <f t="shared" ref="F38" si="14">F37*F24</f>
        <v>0.39333333333333331</v>
      </c>
      <c r="G38" s="36">
        <f t="shared" ref="G38" si="15">G37*G24</f>
        <v>0.40099999999999997</v>
      </c>
      <c r="H38" s="36">
        <f t="shared" ref="H38" si="16">H37*H24</f>
        <v>2.4999999999999994E-2</v>
      </c>
      <c r="I38" s="36">
        <f t="shared" ref="I38" si="17">I37*I24</f>
        <v>0.11916666666666666</v>
      </c>
      <c r="J38" s="36">
        <f t="shared" ref="J38" si="18">J37*J24</f>
        <v>8.1375000000000003E-2</v>
      </c>
      <c r="K38" s="36">
        <f t="shared" ref="K38" si="19">K37*K24</f>
        <v>8.405E-2</v>
      </c>
      <c r="L38" s="36">
        <f t="shared" ref="L38" si="20">L37*L24</f>
        <v>0.24911666666666668</v>
      </c>
      <c r="M38" s="37"/>
      <c r="N38" s="38"/>
      <c r="O38" s="38"/>
    </row>
    <row r="39" spans="2:25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3"/>
      <c r="N39" s="21"/>
      <c r="O39" s="21"/>
    </row>
    <row r="40" spans="2:25" ht="15.75" thickBot="1">
      <c r="B40" s="11" t="s">
        <v>119</v>
      </c>
      <c r="Q40" s="5" t="s">
        <v>120</v>
      </c>
      <c r="R40" s="5"/>
      <c r="S40" s="5"/>
      <c r="T40" s="5"/>
      <c r="V40" s="5" t="s">
        <v>121</v>
      </c>
    </row>
    <row r="41" spans="2:25" ht="19.5" thickBot="1">
      <c r="B41" s="127">
        <v>2025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9"/>
      <c r="Q41" s="130" t="s">
        <v>38</v>
      </c>
      <c r="R41" s="131"/>
      <c r="S41" s="131"/>
      <c r="T41" s="132"/>
      <c r="V41" s="141" t="s">
        <v>106</v>
      </c>
      <c r="W41" s="141"/>
      <c r="X41" s="137" t="s">
        <v>39</v>
      </c>
      <c r="Y41" s="125"/>
    </row>
    <row r="42" spans="2:25" ht="16.5" thickBot="1">
      <c r="B42" s="39" t="s">
        <v>40</v>
      </c>
      <c r="C42" s="12" t="s">
        <v>107</v>
      </c>
      <c r="D42" s="12" t="s">
        <v>108</v>
      </c>
      <c r="E42" s="12" t="s">
        <v>109</v>
      </c>
      <c r="F42" s="12" t="s">
        <v>110</v>
      </c>
      <c r="G42" s="12" t="s">
        <v>111</v>
      </c>
      <c r="H42" s="12" t="s">
        <v>112</v>
      </c>
      <c r="I42" s="12" t="s">
        <v>113</v>
      </c>
      <c r="J42" s="12" t="s">
        <v>114</v>
      </c>
      <c r="K42" s="12" t="s">
        <v>115</v>
      </c>
      <c r="L42" s="12" t="s">
        <v>116</v>
      </c>
      <c r="M42" s="142" t="s">
        <v>48</v>
      </c>
      <c r="N42" s="143"/>
      <c r="O42" s="12" t="s">
        <v>49</v>
      </c>
      <c r="Q42" s="13">
        <v>1000000</v>
      </c>
      <c r="R42" s="14" t="s">
        <v>50</v>
      </c>
      <c r="S42" s="14" t="s">
        <v>51</v>
      </c>
      <c r="T42" s="14">
        <v>0.1429</v>
      </c>
      <c r="V42" s="31" t="s">
        <v>52</v>
      </c>
      <c r="W42" s="33" t="s">
        <v>0</v>
      </c>
      <c r="X42" s="31" t="s">
        <v>52</v>
      </c>
      <c r="Y42" s="33" t="s">
        <v>0</v>
      </c>
    </row>
    <row r="43" spans="2:25" ht="19.5">
      <c r="B43" s="15" t="s">
        <v>53</v>
      </c>
      <c r="C43" s="16">
        <v>1</v>
      </c>
      <c r="D43" s="16">
        <v>2</v>
      </c>
      <c r="E43" s="16">
        <v>3</v>
      </c>
      <c r="F43" s="16">
        <v>4</v>
      </c>
      <c r="G43" s="16">
        <v>4</v>
      </c>
      <c r="H43" s="16">
        <v>5</v>
      </c>
      <c r="I43" s="16">
        <v>5</v>
      </c>
      <c r="J43" s="16">
        <v>5</v>
      </c>
      <c r="K43" s="16">
        <v>6</v>
      </c>
      <c r="L43" s="16">
        <v>1</v>
      </c>
      <c r="M43" s="16" t="s">
        <v>117</v>
      </c>
      <c r="N43" s="16" t="s">
        <v>54</v>
      </c>
      <c r="O43" s="16" t="s">
        <v>145</v>
      </c>
      <c r="Q43" s="17">
        <v>1</v>
      </c>
      <c r="R43" s="18" t="s">
        <v>51</v>
      </c>
      <c r="S43" s="18" t="s">
        <v>55</v>
      </c>
      <c r="T43" s="18">
        <v>2.9307600321999999E-2</v>
      </c>
      <c r="V43" s="29">
        <f>(L57+(SUM(C57:K57)*(1-B$78)))*$C$69*0.01</f>
        <v>1.8975408180279498</v>
      </c>
      <c r="W43" s="14" t="s">
        <v>56</v>
      </c>
      <c r="X43" s="61">
        <f>C57*$C$70*0.01*B$78</f>
        <v>3.8379605999999992E-4</v>
      </c>
      <c r="Y43" s="14" t="s">
        <v>57</v>
      </c>
    </row>
    <row r="44" spans="2:25" ht="19.5">
      <c r="B44" s="15" t="s">
        <v>58</v>
      </c>
      <c r="C44" s="27">
        <v>96.04</v>
      </c>
      <c r="D44" s="27">
        <v>1.93</v>
      </c>
      <c r="E44" s="27">
        <v>0.52</v>
      </c>
      <c r="F44" s="27">
        <v>8.3000000000000004E-2</v>
      </c>
      <c r="G44" s="27">
        <v>8.4000000000000005E-2</v>
      </c>
      <c r="H44" s="27">
        <v>5.0000000000000001E-3</v>
      </c>
      <c r="I44" s="27">
        <v>1.7299999999999999E-2</v>
      </c>
      <c r="J44" s="27">
        <v>1.21E-2</v>
      </c>
      <c r="K44" s="27">
        <v>8.9999999999999993E-3</v>
      </c>
      <c r="L44" s="27">
        <v>0.218</v>
      </c>
      <c r="M44" s="28">
        <v>33.926000000000002</v>
      </c>
      <c r="N44" s="28">
        <v>8106</v>
      </c>
      <c r="O44" s="28">
        <v>0.69730000000000003</v>
      </c>
      <c r="Q44" s="18">
        <v>1</v>
      </c>
      <c r="R44" s="18" t="s">
        <v>59</v>
      </c>
      <c r="S44" s="18" t="s">
        <v>50</v>
      </c>
      <c r="T44" s="17">
        <f>N56*1000</f>
        <v>8112000</v>
      </c>
      <c r="V44" s="28">
        <f>V43/T45</f>
        <v>1.6369331959529065</v>
      </c>
      <c r="W44" s="18" t="s">
        <v>60</v>
      </c>
      <c r="X44" s="62">
        <f>X43/T45</f>
        <v>3.3108563732655346E-4</v>
      </c>
      <c r="Y44" s="18" t="s">
        <v>61</v>
      </c>
    </row>
    <row r="45" spans="2:25" ht="19.5">
      <c r="B45" s="15" t="s">
        <v>62</v>
      </c>
      <c r="C45" s="27">
        <v>95.89</v>
      </c>
      <c r="D45" s="27">
        <v>1.96</v>
      </c>
      <c r="E45" s="27">
        <v>0.57999999999999996</v>
      </c>
      <c r="F45" s="27">
        <v>9.4E-2</v>
      </c>
      <c r="G45" s="27">
        <v>9.7000000000000003E-2</v>
      </c>
      <c r="H45" s="27">
        <v>5.0000000000000001E-3</v>
      </c>
      <c r="I45" s="27">
        <v>1.9699999999999999E-2</v>
      </c>
      <c r="J45" s="27">
        <v>1.43E-2</v>
      </c>
      <c r="K45" s="27">
        <v>1.2E-2</v>
      </c>
      <c r="L45" s="27">
        <v>0.218</v>
      </c>
      <c r="M45" s="28">
        <v>33.99</v>
      </c>
      <c r="N45" s="28">
        <v>8119</v>
      </c>
      <c r="O45" s="28">
        <v>0.69889999999999997</v>
      </c>
      <c r="Q45" s="18">
        <v>1</v>
      </c>
      <c r="R45" s="18" t="s">
        <v>59</v>
      </c>
      <c r="S45" s="18" t="s">
        <v>51</v>
      </c>
      <c r="T45" s="18">
        <f>T42*(T44/Q42)</f>
        <v>1.1592047999999999</v>
      </c>
      <c r="V45" s="28">
        <f>V43/T46</f>
        <v>55.853538944439912</v>
      </c>
      <c r="W45" s="18" t="s">
        <v>63</v>
      </c>
      <c r="X45" s="62">
        <f>X43/T46</f>
        <v>1.1296920719845534E-2</v>
      </c>
      <c r="Y45" s="18" t="s">
        <v>64</v>
      </c>
    </row>
    <row r="46" spans="2:25" ht="19.5">
      <c r="B46" s="15" t="s">
        <v>65</v>
      </c>
      <c r="C46" s="27">
        <v>95.7</v>
      </c>
      <c r="D46" s="27">
        <v>1.97</v>
      </c>
      <c r="E46" s="27">
        <v>0.64</v>
      </c>
      <c r="F46" s="27">
        <v>0.10199999999999999</v>
      </c>
      <c r="G46" s="27">
        <v>0.107</v>
      </c>
      <c r="H46" s="27">
        <v>5.0000000000000001E-3</v>
      </c>
      <c r="I46" s="27">
        <v>2.23E-2</v>
      </c>
      <c r="J46" s="27">
        <v>1.67E-2</v>
      </c>
      <c r="K46" s="27">
        <v>1.09E-2</v>
      </c>
      <c r="L46" s="27">
        <v>0.252</v>
      </c>
      <c r="M46" s="28">
        <v>34.014000000000003</v>
      </c>
      <c r="N46" s="28">
        <v>8124</v>
      </c>
      <c r="O46" s="28">
        <v>0.70069999999999999</v>
      </c>
      <c r="Q46" s="18">
        <v>1</v>
      </c>
      <c r="R46" s="18" t="s">
        <v>59</v>
      </c>
      <c r="S46" s="18" t="s">
        <v>55</v>
      </c>
      <c r="T46" s="18">
        <f>T43*(T45/Q43)</f>
        <v>3.3973510969743943E-2</v>
      </c>
      <c r="V46" s="28">
        <f>V43/O54</f>
        <v>2.7216592341192625</v>
      </c>
      <c r="W46" s="18" t="s">
        <v>66</v>
      </c>
      <c r="X46" s="62">
        <f>X43/O54</f>
        <v>5.5048201376936307E-4</v>
      </c>
      <c r="Y46" s="18" t="s">
        <v>67</v>
      </c>
    </row>
    <row r="47" spans="2:25">
      <c r="B47" s="15" t="s">
        <v>68</v>
      </c>
      <c r="C47" s="27">
        <v>95.58</v>
      </c>
      <c r="D47" s="27">
        <v>2.13</v>
      </c>
      <c r="E47" s="27">
        <v>0.59</v>
      </c>
      <c r="F47" s="27">
        <v>9.8000000000000004E-2</v>
      </c>
      <c r="G47" s="27">
        <v>9.8000000000000004E-2</v>
      </c>
      <c r="H47" s="27">
        <v>5.0000000000000001E-3</v>
      </c>
      <c r="I47" s="27">
        <v>2.0199999999999999E-2</v>
      </c>
      <c r="J47" s="27">
        <v>1.47E-2</v>
      </c>
      <c r="K47" s="27">
        <v>1.29E-2</v>
      </c>
      <c r="L47" s="27">
        <v>0.27500000000000002</v>
      </c>
      <c r="M47" s="28">
        <v>34.01</v>
      </c>
      <c r="N47" s="28">
        <v>8123</v>
      </c>
      <c r="O47" s="28">
        <v>0.70109999999999995</v>
      </c>
    </row>
    <row r="48" spans="2:25">
      <c r="B48" s="15" t="s">
        <v>69</v>
      </c>
      <c r="C48" s="27">
        <v>95.53</v>
      </c>
      <c r="D48" s="27">
        <v>2.14</v>
      </c>
      <c r="E48" s="27">
        <v>0.6</v>
      </c>
      <c r="F48" s="27">
        <v>0.10199999999999999</v>
      </c>
      <c r="G48" s="27">
        <v>0.1</v>
      </c>
      <c r="H48" s="27">
        <v>5.0000000000000001E-3</v>
      </c>
      <c r="I48" s="27">
        <v>2.1399999999999999E-2</v>
      </c>
      <c r="J48" s="27">
        <v>1.54E-2</v>
      </c>
      <c r="K48" s="27">
        <v>1.49E-2</v>
      </c>
      <c r="L48" s="27">
        <v>0.28199999999999997</v>
      </c>
      <c r="M48" s="28">
        <v>34.015999999999998</v>
      </c>
      <c r="N48" s="28">
        <v>8125</v>
      </c>
      <c r="O48" s="28">
        <v>0.70169999999999999</v>
      </c>
    </row>
    <row r="49" spans="2:25">
      <c r="B49" s="15" t="s">
        <v>70</v>
      </c>
      <c r="C49" s="27">
        <v>95.43</v>
      </c>
      <c r="D49" s="27">
        <v>2.02</v>
      </c>
      <c r="E49" s="27">
        <v>0.64</v>
      </c>
      <c r="F49" s="27">
        <v>0.10299999999999999</v>
      </c>
      <c r="G49" s="27">
        <v>0.114</v>
      </c>
      <c r="H49" s="27">
        <v>5.0000000000000001E-3</v>
      </c>
      <c r="I49" s="27">
        <v>2.6499999999999999E-2</v>
      </c>
      <c r="J49" s="27">
        <v>1.7500000000000002E-2</v>
      </c>
      <c r="K49" s="27">
        <v>1.43E-2</v>
      </c>
      <c r="L49" s="27">
        <v>0.33800000000000002</v>
      </c>
      <c r="M49" s="28">
        <v>33.966000000000001</v>
      </c>
      <c r="N49" s="28">
        <v>8113</v>
      </c>
      <c r="O49" s="28">
        <v>0.70299999999999996</v>
      </c>
    </row>
    <row r="50" spans="2:25">
      <c r="B50" s="15" t="s">
        <v>71</v>
      </c>
      <c r="C50" s="27">
        <v>95.06</v>
      </c>
      <c r="D50" s="27">
        <v>2.31</v>
      </c>
      <c r="E50" s="27">
        <v>0.71</v>
      </c>
      <c r="F50" s="27">
        <v>0.115</v>
      </c>
      <c r="G50" s="27">
        <v>0.114</v>
      </c>
      <c r="H50" s="27">
        <v>5.0000000000000001E-3</v>
      </c>
      <c r="I50" s="27">
        <v>2.6700000000000002E-2</v>
      </c>
      <c r="J50" s="27">
        <v>1.8100000000000002E-2</v>
      </c>
      <c r="K50" s="27">
        <v>1.6899999999999998E-2</v>
      </c>
      <c r="L50" s="27">
        <v>0.36099999999999999</v>
      </c>
      <c r="M50" s="28">
        <v>34.097999999999999</v>
      </c>
      <c r="N50" s="28">
        <v>8144</v>
      </c>
      <c r="O50" s="28">
        <v>0.70599999999999996</v>
      </c>
    </row>
    <row r="51" spans="2:25">
      <c r="B51" s="15" t="s">
        <v>72</v>
      </c>
      <c r="C51" s="27">
        <v>95.14</v>
      </c>
      <c r="D51" s="27">
        <v>2.2200000000000002</v>
      </c>
      <c r="E51" s="27">
        <v>0.67</v>
      </c>
      <c r="F51" s="27">
        <v>0.106</v>
      </c>
      <c r="G51" s="27">
        <v>0.11</v>
      </c>
      <c r="H51" s="27">
        <v>5.0000000000000001E-3</v>
      </c>
      <c r="I51" s="27">
        <v>2.6100000000000002E-2</v>
      </c>
      <c r="J51" s="27">
        <v>1.6899999999999998E-2</v>
      </c>
      <c r="K51" s="27">
        <v>1.7100000000000001E-2</v>
      </c>
      <c r="L51" s="27">
        <v>0.36699999999999999</v>
      </c>
      <c r="M51" s="28">
        <v>34.015999999999998</v>
      </c>
      <c r="N51" s="28">
        <v>8125</v>
      </c>
      <c r="O51" s="28">
        <v>0.70509999999999995</v>
      </c>
    </row>
    <row r="52" spans="2:25">
      <c r="B52" s="15" t="s">
        <v>73</v>
      </c>
      <c r="C52" s="27">
        <v>94.97</v>
      </c>
      <c r="D52" s="27">
        <v>2.41</v>
      </c>
      <c r="E52" s="27">
        <v>0.71</v>
      </c>
      <c r="F52" s="27">
        <v>0.111</v>
      </c>
      <c r="G52" s="27">
        <v>0.113</v>
      </c>
      <c r="H52" s="27">
        <v>5.0000000000000001E-3</v>
      </c>
      <c r="I52" s="27">
        <v>2.5700000000000001E-2</v>
      </c>
      <c r="J52" s="27">
        <v>1.66E-2</v>
      </c>
      <c r="K52" s="27">
        <v>1.5299999999999999E-2</v>
      </c>
      <c r="L52" s="27">
        <v>0.70640000000000003</v>
      </c>
      <c r="M52" s="28">
        <v>34.110999999999997</v>
      </c>
      <c r="N52" s="28">
        <v>8147</v>
      </c>
      <c r="O52" s="28">
        <v>0.70640000000000003</v>
      </c>
    </row>
    <row r="53" spans="2:25">
      <c r="B53" s="15" t="s">
        <v>74</v>
      </c>
      <c r="C53" s="27">
        <v>95.84</v>
      </c>
      <c r="D53" s="27">
        <v>1.93</v>
      </c>
      <c r="E53" s="27">
        <v>0.55000000000000004</v>
      </c>
      <c r="F53" s="27">
        <v>9.2999999999999999E-2</v>
      </c>
      <c r="G53" s="27">
        <v>9.1999999999999998E-2</v>
      </c>
      <c r="H53" s="27">
        <v>5.0000000000000001E-3</v>
      </c>
      <c r="I53" s="27">
        <v>2.1000000000000001E-2</v>
      </c>
      <c r="J53" s="27">
        <v>1.4E-2</v>
      </c>
      <c r="K53" s="27">
        <v>1.34E-2</v>
      </c>
      <c r="L53" s="27">
        <v>0.69920000000000004</v>
      </c>
      <c r="M53" s="28">
        <v>33.933</v>
      </c>
      <c r="N53" s="28">
        <v>8105</v>
      </c>
      <c r="O53" s="28">
        <v>0.69920000000000004</v>
      </c>
    </row>
    <row r="54" spans="2:25">
      <c r="B54" s="15" t="s">
        <v>75</v>
      </c>
      <c r="C54" s="27">
        <v>96.09</v>
      </c>
      <c r="D54" s="27">
        <v>1.8</v>
      </c>
      <c r="E54" s="27">
        <v>0.52</v>
      </c>
      <c r="F54" s="27">
        <v>8.6999999999999994E-2</v>
      </c>
      <c r="G54" s="27">
        <v>8.6999999999999994E-2</v>
      </c>
      <c r="H54" s="27">
        <v>5.0000000000000001E-3</v>
      </c>
      <c r="I54" s="27">
        <v>1.9300000000000001E-2</v>
      </c>
      <c r="J54" s="27">
        <v>1.29E-2</v>
      </c>
      <c r="K54" s="27">
        <v>1.1599999999999999E-2</v>
      </c>
      <c r="L54" s="27">
        <v>0.69720000000000004</v>
      </c>
      <c r="M54" s="28">
        <v>33.889000000000003</v>
      </c>
      <c r="N54" s="28">
        <v>8094</v>
      </c>
      <c r="O54" s="28">
        <v>0.69720000000000004</v>
      </c>
    </row>
    <row r="55" spans="2:25">
      <c r="B55" s="15" t="s">
        <v>76</v>
      </c>
      <c r="C55" s="27">
        <v>96.13</v>
      </c>
      <c r="D55" s="27">
        <v>1.83</v>
      </c>
      <c r="E55" s="27">
        <v>0.53</v>
      </c>
      <c r="F55" s="27">
        <v>8.3000000000000004E-2</v>
      </c>
      <c r="G55" s="27" t="s">
        <v>122</v>
      </c>
      <c r="H55" s="27">
        <v>1.7500000000000002E-2</v>
      </c>
      <c r="I55" s="27">
        <v>1.1599999999999999E-2</v>
      </c>
      <c r="J55" s="27">
        <v>1.04E-2</v>
      </c>
      <c r="K55" s="27">
        <v>1.6199999999999999E-2</v>
      </c>
      <c r="L55" s="27">
        <v>0.69679999999999997</v>
      </c>
      <c r="M55" s="28">
        <v>33.92</v>
      </c>
      <c r="N55" s="28">
        <v>8102</v>
      </c>
      <c r="O55" s="28">
        <v>0.69679999999999997</v>
      </c>
    </row>
    <row r="56" spans="2:25">
      <c r="B56" s="34" t="s">
        <v>77</v>
      </c>
      <c r="C56" s="35">
        <f>AVERAGE(C52:C55)</f>
        <v>95.757499999999993</v>
      </c>
      <c r="D56" s="35">
        <f t="shared" ref="D56:O56" si="21">AVERAGE(D52:D55)</f>
        <v>1.9924999999999999</v>
      </c>
      <c r="E56" s="35">
        <f t="shared" si="21"/>
        <v>0.57750000000000001</v>
      </c>
      <c r="F56" s="35">
        <f t="shared" si="21"/>
        <v>9.3500000000000014E-2</v>
      </c>
      <c r="G56" s="35">
        <f t="shared" si="21"/>
        <v>9.7333333333333341E-2</v>
      </c>
      <c r="H56" s="35">
        <f t="shared" si="21"/>
        <v>8.1250000000000003E-3</v>
      </c>
      <c r="I56" s="35">
        <f t="shared" si="21"/>
        <v>1.9400000000000001E-2</v>
      </c>
      <c r="J56" s="35">
        <f t="shared" si="21"/>
        <v>1.3475000000000001E-2</v>
      </c>
      <c r="K56" s="35">
        <f t="shared" si="21"/>
        <v>1.4125E-2</v>
      </c>
      <c r="L56" s="35">
        <f t="shared" si="21"/>
        <v>0.69990000000000008</v>
      </c>
      <c r="M56" s="35">
        <f t="shared" si="21"/>
        <v>33.963250000000002</v>
      </c>
      <c r="N56" s="35">
        <f t="shared" si="21"/>
        <v>8112</v>
      </c>
      <c r="O56" s="35">
        <f t="shared" si="21"/>
        <v>0.69990000000000008</v>
      </c>
      <c r="P56" s="19"/>
    </row>
    <row r="57" spans="2:25">
      <c r="B57" s="34" t="s">
        <v>78</v>
      </c>
      <c r="C57" s="36">
        <f t="shared" ref="C57:L57" si="22">C56*C43</f>
        <v>95.757499999999993</v>
      </c>
      <c r="D57" s="36">
        <f t="shared" si="22"/>
        <v>3.9849999999999999</v>
      </c>
      <c r="E57" s="36">
        <f t="shared" si="22"/>
        <v>1.7324999999999999</v>
      </c>
      <c r="F57" s="36">
        <f t="shared" si="22"/>
        <v>0.37400000000000005</v>
      </c>
      <c r="G57" s="36">
        <f t="shared" si="22"/>
        <v>0.38933333333333336</v>
      </c>
      <c r="H57" s="36">
        <f t="shared" si="22"/>
        <v>4.0625000000000001E-2</v>
      </c>
      <c r="I57" s="36">
        <f t="shared" si="22"/>
        <v>9.7000000000000003E-2</v>
      </c>
      <c r="J57" s="36">
        <f t="shared" si="22"/>
        <v>6.7375000000000004E-2</v>
      </c>
      <c r="K57" s="36">
        <f t="shared" si="22"/>
        <v>8.4750000000000006E-2</v>
      </c>
      <c r="L57" s="36">
        <f t="shared" si="22"/>
        <v>0.69990000000000008</v>
      </c>
      <c r="M57" s="37"/>
      <c r="N57" s="38"/>
      <c r="O57" s="38"/>
      <c r="P57" s="19"/>
    </row>
    <row r="58" spans="2:25"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3"/>
      <c r="N58" s="21"/>
      <c r="O58" s="21"/>
    </row>
    <row r="59" spans="2:25" ht="15.75" thickBot="1">
      <c r="B59" s="11" t="s">
        <v>123</v>
      </c>
      <c r="Q59" s="5" t="s">
        <v>86</v>
      </c>
      <c r="R59" s="5"/>
      <c r="S59" s="5"/>
      <c r="T59" s="5"/>
      <c r="V59" s="5" t="s">
        <v>87</v>
      </c>
    </row>
    <row r="60" spans="2:25" ht="19.5" thickBot="1">
      <c r="B60" s="127">
        <v>2026</v>
      </c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9"/>
      <c r="Q60" s="130" t="s">
        <v>38</v>
      </c>
      <c r="R60" s="131"/>
      <c r="S60" s="131"/>
      <c r="T60" s="132"/>
      <c r="V60" s="141" t="s">
        <v>106</v>
      </c>
      <c r="W60" s="141"/>
      <c r="X60" s="137" t="s">
        <v>39</v>
      </c>
      <c r="Y60" s="125"/>
    </row>
    <row r="61" spans="2:25" ht="16.5" thickBot="1">
      <c r="B61" s="39" t="s">
        <v>40</v>
      </c>
      <c r="C61" s="12" t="s">
        <v>107</v>
      </c>
      <c r="D61" s="12" t="s">
        <v>108</v>
      </c>
      <c r="E61" s="12" t="s">
        <v>109</v>
      </c>
      <c r="F61" s="12" t="s">
        <v>110</v>
      </c>
      <c r="G61" s="12" t="s">
        <v>111</v>
      </c>
      <c r="H61" s="12" t="s">
        <v>112</v>
      </c>
      <c r="I61" s="12" t="s">
        <v>113</v>
      </c>
      <c r="J61" s="12" t="s">
        <v>114</v>
      </c>
      <c r="K61" s="12" t="s">
        <v>115</v>
      </c>
      <c r="L61" s="12" t="s">
        <v>116</v>
      </c>
      <c r="M61" s="142" t="s">
        <v>48</v>
      </c>
      <c r="N61" s="143"/>
      <c r="O61" s="12" t="s">
        <v>49</v>
      </c>
      <c r="Q61" s="13">
        <v>1000000</v>
      </c>
      <c r="R61" s="14" t="s">
        <v>50</v>
      </c>
      <c r="S61" s="14" t="s">
        <v>51</v>
      </c>
      <c r="T61" s="14">
        <v>0.1429</v>
      </c>
      <c r="V61" s="31" t="s">
        <v>52</v>
      </c>
      <c r="W61" s="33" t="s">
        <v>0</v>
      </c>
      <c r="X61" s="31" t="s">
        <v>52</v>
      </c>
      <c r="Y61" s="33" t="s">
        <v>0</v>
      </c>
    </row>
    <row r="62" spans="2:25" ht="19.5">
      <c r="B62" s="15" t="s">
        <v>53</v>
      </c>
      <c r="C62" s="16">
        <v>1</v>
      </c>
      <c r="D62" s="16">
        <v>2</v>
      </c>
      <c r="E62" s="16">
        <v>3</v>
      </c>
      <c r="F62" s="16">
        <v>4</v>
      </c>
      <c r="G62" s="16">
        <v>4</v>
      </c>
      <c r="H62" s="16">
        <v>5</v>
      </c>
      <c r="I62" s="16">
        <v>5</v>
      </c>
      <c r="J62" s="16">
        <v>5</v>
      </c>
      <c r="K62" s="16">
        <v>6</v>
      </c>
      <c r="L62" s="16">
        <v>1</v>
      </c>
      <c r="M62" s="16" t="s">
        <v>117</v>
      </c>
      <c r="N62" s="16" t="s">
        <v>54</v>
      </c>
      <c r="O62" s="16" t="s">
        <v>145</v>
      </c>
      <c r="Q62" s="17">
        <v>1</v>
      </c>
      <c r="R62" s="18" t="s">
        <v>51</v>
      </c>
      <c r="S62" s="18" t="s">
        <v>55</v>
      </c>
      <c r="T62" s="18">
        <v>2.9307600321999999E-2</v>
      </c>
      <c r="V62" s="29">
        <f>(L65+(SUM(C65:K65)*(1-B$78)))*$C$69*0.01</f>
        <v>1.8811811630130602</v>
      </c>
      <c r="W62" s="14" t="s">
        <v>56</v>
      </c>
      <c r="X62" s="61">
        <f>C65*$C$70*0.01*B$78</f>
        <v>3.8593032000000006E-4</v>
      </c>
      <c r="Y62" s="14" t="s">
        <v>57</v>
      </c>
    </row>
    <row r="63" spans="2:25" ht="19.5">
      <c r="B63" s="15" t="s">
        <v>58</v>
      </c>
      <c r="C63" s="27">
        <v>96.29</v>
      </c>
      <c r="D63" s="27">
        <v>1.77</v>
      </c>
      <c r="E63" s="27">
        <v>0.49</v>
      </c>
      <c r="F63" s="27">
        <v>7.8E-2</v>
      </c>
      <c r="G63" s="27">
        <v>7.3999999999999996E-2</v>
      </c>
      <c r="H63" s="27">
        <v>5.0000000000000001E-3</v>
      </c>
      <c r="I63" s="27">
        <v>1.5299999999999999E-2</v>
      </c>
      <c r="J63" s="27">
        <v>0.01</v>
      </c>
      <c r="K63" s="27">
        <v>1.3299999999999999E-2</v>
      </c>
      <c r="L63" s="27">
        <v>0.19900000000000001</v>
      </c>
      <c r="M63" s="28">
        <v>33.878</v>
      </c>
      <c r="N63" s="28">
        <v>8092</v>
      </c>
      <c r="O63" s="28">
        <v>0.69540000000000002</v>
      </c>
      <c r="Q63" s="18">
        <v>1</v>
      </c>
      <c r="R63" s="18" t="s">
        <v>59</v>
      </c>
      <c r="S63" s="18" t="s">
        <v>50</v>
      </c>
      <c r="T63" s="17">
        <f>N64*1000</f>
        <v>8092000</v>
      </c>
      <c r="V63" s="28">
        <f>V62/T64</f>
        <v>1.6268312957782733</v>
      </c>
      <c r="W63" s="18" t="s">
        <v>60</v>
      </c>
      <c r="X63" s="62">
        <f>X62/T64</f>
        <v>3.3374963289559844E-4</v>
      </c>
      <c r="Y63" s="18" t="s">
        <v>61</v>
      </c>
    </row>
    <row r="64" spans="2:25" ht="19.5">
      <c r="B64" s="34" t="s">
        <v>77</v>
      </c>
      <c r="C64" s="35">
        <f>AVERAGE(C63:C63)</f>
        <v>96.29</v>
      </c>
      <c r="D64" s="35">
        <f t="shared" ref="D64:O64" si="23">AVERAGE(D63:D63)</f>
        <v>1.77</v>
      </c>
      <c r="E64" s="35">
        <f t="shared" si="23"/>
        <v>0.49</v>
      </c>
      <c r="F64" s="35">
        <f t="shared" si="23"/>
        <v>7.8E-2</v>
      </c>
      <c r="G64" s="35">
        <f t="shared" si="23"/>
        <v>7.3999999999999996E-2</v>
      </c>
      <c r="H64" s="35">
        <f t="shared" si="23"/>
        <v>5.0000000000000001E-3</v>
      </c>
      <c r="I64" s="35">
        <f t="shared" si="23"/>
        <v>1.5299999999999999E-2</v>
      </c>
      <c r="J64" s="35">
        <f t="shared" si="23"/>
        <v>0.01</v>
      </c>
      <c r="K64" s="35">
        <f t="shared" si="23"/>
        <v>1.3299999999999999E-2</v>
      </c>
      <c r="L64" s="35">
        <f t="shared" si="23"/>
        <v>0.19900000000000001</v>
      </c>
      <c r="M64" s="35">
        <f t="shared" si="23"/>
        <v>33.878</v>
      </c>
      <c r="N64" s="35">
        <f t="shared" si="23"/>
        <v>8092</v>
      </c>
      <c r="O64" s="35">
        <f t="shared" si="23"/>
        <v>0.69540000000000002</v>
      </c>
      <c r="Q64" s="18">
        <v>1</v>
      </c>
      <c r="R64" s="18" t="s">
        <v>59</v>
      </c>
      <c r="S64" s="18" t="s">
        <v>51</v>
      </c>
      <c r="T64" s="18">
        <f>T61*(T63/Q61)</f>
        <v>1.1563468000000001</v>
      </c>
      <c r="V64" s="28">
        <f>V62/T65</f>
        <v>55.508853604676695</v>
      </c>
      <c r="W64" s="18" t="s">
        <v>63</v>
      </c>
      <c r="X64" s="62">
        <f>X62/T65</f>
        <v>1.1387818491746884E-2</v>
      </c>
      <c r="Y64" s="18" t="s">
        <v>64</v>
      </c>
    </row>
    <row r="65" spans="2:25" ht="19.5">
      <c r="B65" s="34" t="s">
        <v>78</v>
      </c>
      <c r="C65" s="36">
        <f>C64*C62</f>
        <v>96.29</v>
      </c>
      <c r="D65" s="36">
        <f t="shared" ref="D65:L65" si="24">D64*D62</f>
        <v>3.54</v>
      </c>
      <c r="E65" s="36">
        <f t="shared" si="24"/>
        <v>1.47</v>
      </c>
      <c r="F65" s="36">
        <f t="shared" si="24"/>
        <v>0.312</v>
      </c>
      <c r="G65" s="36">
        <f t="shared" si="24"/>
        <v>0.29599999999999999</v>
      </c>
      <c r="H65" s="36">
        <f t="shared" si="24"/>
        <v>2.5000000000000001E-2</v>
      </c>
      <c r="I65" s="36">
        <f t="shared" si="24"/>
        <v>7.6499999999999999E-2</v>
      </c>
      <c r="J65" s="36">
        <f t="shared" si="24"/>
        <v>0.05</v>
      </c>
      <c r="K65" s="36">
        <f t="shared" si="24"/>
        <v>7.9799999999999996E-2</v>
      </c>
      <c r="L65" s="36">
        <f t="shared" si="24"/>
        <v>0.19900000000000001</v>
      </c>
      <c r="M65" s="37"/>
      <c r="N65" s="38"/>
      <c r="O65" s="38"/>
      <c r="Q65" s="18">
        <v>1</v>
      </c>
      <c r="R65" s="18" t="s">
        <v>59</v>
      </c>
      <c r="S65" s="18" t="s">
        <v>55</v>
      </c>
      <c r="T65" s="18">
        <f>T62*(T64/Q62)</f>
        <v>3.3889749848023669E-2</v>
      </c>
      <c r="V65" s="28">
        <f>V62/O64</f>
        <v>2.7051785490553066</v>
      </c>
      <c r="W65" s="18" t="s">
        <v>66</v>
      </c>
      <c r="X65" s="62">
        <f>X62/O64</f>
        <v>5.5497601380500444E-4</v>
      </c>
      <c r="Y65" s="18" t="s">
        <v>67</v>
      </c>
    </row>
    <row r="66" spans="2:25">
      <c r="B66" s="5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6"/>
      <c r="O66" s="56"/>
      <c r="P66" s="19"/>
      <c r="Q66" s="19"/>
    </row>
    <row r="67" spans="2:25" ht="20.25" thickBot="1">
      <c r="B67" s="5" t="s">
        <v>88</v>
      </c>
      <c r="P67" s="19"/>
      <c r="Q67" s="19"/>
    </row>
    <row r="68" spans="2:25" ht="18.75">
      <c r="B68" s="59" t="s">
        <v>89</v>
      </c>
      <c r="C68" s="59" t="s">
        <v>90</v>
      </c>
      <c r="D68" s="138" t="s">
        <v>91</v>
      </c>
      <c r="E68" s="139"/>
      <c r="P68" s="19"/>
      <c r="Q68" s="19"/>
    </row>
    <row r="69" spans="2:25">
      <c r="B69" s="60" t="s">
        <v>92</v>
      </c>
      <c r="C69" s="18">
        <v>1.8392999999999999</v>
      </c>
      <c r="D69" s="136" t="s">
        <v>93</v>
      </c>
      <c r="E69" s="136"/>
    </row>
    <row r="70" spans="2:25">
      <c r="B70" s="60" t="s">
        <v>94</v>
      </c>
      <c r="C70" s="18">
        <v>0.66800000000000004</v>
      </c>
      <c r="D70" s="136" t="s">
        <v>93</v>
      </c>
      <c r="E70" s="136"/>
    </row>
    <row r="72" spans="2:25" ht="15.75" thickBot="1">
      <c r="B72" s="5" t="s">
        <v>95</v>
      </c>
    </row>
    <row r="73" spans="2:25" ht="16.5" thickBot="1">
      <c r="B73" s="31">
        <v>2023</v>
      </c>
      <c r="C73" s="31">
        <v>2024</v>
      </c>
      <c r="D73" s="31">
        <v>2025</v>
      </c>
      <c r="E73" s="32">
        <v>2026</v>
      </c>
      <c r="F73" s="133" t="s">
        <v>91</v>
      </c>
      <c r="G73" s="134"/>
    </row>
    <row r="74" spans="2:25">
      <c r="B74" s="30">
        <f>V8</f>
        <v>2.6917710626246643</v>
      </c>
      <c r="C74" s="30">
        <f>V27</f>
        <v>2.6963894373490156</v>
      </c>
      <c r="D74" s="30">
        <f>V46</f>
        <v>2.7216592341192625</v>
      </c>
      <c r="E74" s="30">
        <f>V65</f>
        <v>2.7051785490553066</v>
      </c>
      <c r="F74" s="135" t="s">
        <v>11</v>
      </c>
      <c r="G74" s="135"/>
    </row>
    <row r="76" spans="2:25" ht="15.75" thickBot="1">
      <c r="B76" s="5" t="s">
        <v>96</v>
      </c>
    </row>
    <row r="77" spans="2:25" ht="19.5" thickBot="1">
      <c r="B77" s="31" t="s">
        <v>97</v>
      </c>
      <c r="C77" s="133" t="s">
        <v>91</v>
      </c>
      <c r="D77" s="134"/>
    </row>
    <row r="78" spans="2:25">
      <c r="B78" s="14">
        <v>5.9999999999999995E-4</v>
      </c>
      <c r="C78" s="135" t="s">
        <v>93</v>
      </c>
      <c r="D78" s="135"/>
    </row>
    <row r="79" spans="2:25">
      <c r="B79" s="5"/>
    </row>
    <row r="80" spans="2:25" ht="15.75" thickBot="1">
      <c r="B80" s="5" t="s">
        <v>98</v>
      </c>
      <c r="C80" s="65"/>
      <c r="D80" s="66"/>
      <c r="E80" s="66"/>
      <c r="F80" s="66"/>
      <c r="G80" s="66"/>
      <c r="H80" s="66"/>
      <c r="I80" s="66"/>
    </row>
    <row r="81" spans="2:11" ht="16.5" thickBot="1">
      <c r="B81" s="31" t="s">
        <v>99</v>
      </c>
      <c r="C81" s="31" t="s">
        <v>100</v>
      </c>
      <c r="D81" s="120" t="s">
        <v>101</v>
      </c>
      <c r="E81" s="121"/>
      <c r="F81" s="121"/>
      <c r="G81" s="121"/>
      <c r="H81" s="121"/>
      <c r="I81" s="121"/>
      <c r="J81" s="121"/>
      <c r="K81" s="121"/>
    </row>
    <row r="82" spans="2:11" ht="19.5">
      <c r="B82" s="67" t="s">
        <v>102</v>
      </c>
      <c r="C82" s="67">
        <v>1</v>
      </c>
      <c r="D82" s="117" t="s">
        <v>103</v>
      </c>
      <c r="E82" s="118"/>
      <c r="F82" s="118"/>
      <c r="G82" s="118"/>
      <c r="H82" s="118"/>
      <c r="I82" s="118"/>
      <c r="J82" s="118"/>
      <c r="K82" s="119"/>
    </row>
    <row r="83" spans="2:11" ht="19.5">
      <c r="B83" s="67" t="s">
        <v>41</v>
      </c>
      <c r="C83" s="67">
        <v>28</v>
      </c>
      <c r="D83" s="122" t="s">
        <v>103</v>
      </c>
      <c r="E83" s="123"/>
      <c r="F83" s="123"/>
      <c r="G83" s="123"/>
      <c r="H83" s="123"/>
      <c r="I83" s="123"/>
      <c r="J83" s="123"/>
      <c r="K83" s="124"/>
    </row>
    <row r="84" spans="2:11" ht="19.5">
      <c r="B84" s="67" t="s">
        <v>104</v>
      </c>
      <c r="C84" s="67">
        <v>265</v>
      </c>
      <c r="D84" s="122" t="s">
        <v>103</v>
      </c>
      <c r="E84" s="123"/>
      <c r="F84" s="123"/>
      <c r="G84" s="123"/>
      <c r="H84" s="123"/>
      <c r="I84" s="123"/>
      <c r="J84" s="123"/>
      <c r="K84" s="124"/>
    </row>
  </sheetData>
  <mergeCells count="32">
    <mergeCell ref="N1:O1"/>
    <mergeCell ref="M4:N4"/>
    <mergeCell ref="B22:O22"/>
    <mergeCell ref="Q22:T22"/>
    <mergeCell ref="V3:W3"/>
    <mergeCell ref="X3:Y3"/>
    <mergeCell ref="B3:O3"/>
    <mergeCell ref="Q3:T3"/>
    <mergeCell ref="B41:O41"/>
    <mergeCell ref="Q41:T41"/>
    <mergeCell ref="M42:N42"/>
    <mergeCell ref="C77:D77"/>
    <mergeCell ref="D68:E68"/>
    <mergeCell ref="D69:E69"/>
    <mergeCell ref="D70:E70"/>
    <mergeCell ref="F74:G74"/>
    <mergeCell ref="D84:K84"/>
    <mergeCell ref="V22:W22"/>
    <mergeCell ref="X22:Y22"/>
    <mergeCell ref="V41:W41"/>
    <mergeCell ref="X41:Y41"/>
    <mergeCell ref="V60:W60"/>
    <mergeCell ref="X60:Y60"/>
    <mergeCell ref="C78:D78"/>
    <mergeCell ref="D81:K81"/>
    <mergeCell ref="D82:K82"/>
    <mergeCell ref="D83:K83"/>
    <mergeCell ref="M61:N61"/>
    <mergeCell ref="F73:G73"/>
    <mergeCell ref="B60:O60"/>
    <mergeCell ref="Q60:T60"/>
    <mergeCell ref="M23:N23"/>
  </mergeCells>
  <hyperlinks>
    <hyperlink ref="D82:E84" r:id="rId1" display="Распоряжение Правительства РФ от 22.10.2021 №2979-Р" xr:uid="{983D4FC0-79A0-472B-ADD4-0FDE46D545A9}"/>
    <hyperlink ref="D83:E83" r:id="rId2" display="Распоряжение Правительства РФ от 22.10.2021 №2979-Р" xr:uid="{310841CC-66EE-4362-88AD-90BCC35F41CE}"/>
    <hyperlink ref="D84:E84" r:id="rId3" display="Распоряжение Правительства РФ от 22.10.2021 №2979-Р" xr:uid="{8C77A1DC-8539-44ED-B602-2099D53AAB22}"/>
  </hyperlinks>
  <pageMargins left="0.7" right="0.7" top="0.75" bottom="0.75" header="0.3" footer="0.3"/>
  <pageSetup paperSize="8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CF82-B06D-477E-B353-474D3E2F0592}">
  <sheetPr>
    <tabColor rgb="FFE2EFDA"/>
  </sheetPr>
  <dimension ref="A1"/>
  <sheetViews>
    <sheetView showGridLines="0" zoomScale="40" zoomScaleNormal="40" workbookViewId="0">
      <selection activeCell="L41" sqref="L41"/>
    </sheetView>
  </sheetViews>
  <sheetFormatPr defaultColWidth="8.85546875"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E3F68-6851-46E7-92BE-64393D28F421}">
  <dimension ref="B2:T89"/>
  <sheetViews>
    <sheetView showGridLines="0" tabSelected="1" zoomScale="60" zoomScaleNormal="60" workbookViewId="0">
      <pane xSplit="2" topLeftCell="C1" activePane="topRight" state="frozen"/>
      <selection pane="topRight" activeCell="T6" sqref="T6"/>
    </sheetView>
  </sheetViews>
  <sheetFormatPr defaultColWidth="9.140625" defaultRowHeight="14.25"/>
  <cols>
    <col min="1" max="1" width="5.7109375" style="1" customWidth="1"/>
    <col min="2" max="2" width="62.5703125" style="1" customWidth="1"/>
    <col min="3" max="4" width="12.85546875" style="4" customWidth="1"/>
    <col min="5" max="6" width="12.7109375" style="4" customWidth="1"/>
    <col min="7" max="10" width="14.28515625" style="4" bestFit="1" customWidth="1"/>
    <col min="11" max="12" width="14.28515625" style="4" customWidth="1"/>
    <col min="13" max="13" width="13.85546875" style="4" customWidth="1"/>
    <col min="14" max="14" width="13.5703125" style="1" customWidth="1"/>
    <col min="15" max="17" width="20.85546875" style="1" customWidth="1"/>
    <col min="18" max="18" width="19.5703125" style="1" customWidth="1"/>
    <col min="19" max="16384" width="9.140625" style="1"/>
  </cols>
  <sheetData>
    <row r="2" spans="2:18" s="8" customFormat="1" ht="15.75" thickBot="1"/>
    <row r="3" spans="2:18" ht="15.75" thickBot="1">
      <c r="C3" s="110" t="s">
        <v>124</v>
      </c>
      <c r="D3" s="111"/>
      <c r="E3" s="112"/>
      <c r="F3" s="81"/>
      <c r="G3" s="111"/>
      <c r="H3" s="111"/>
      <c r="I3" s="111"/>
      <c r="J3" s="111"/>
      <c r="K3" s="111"/>
      <c r="L3" s="111"/>
      <c r="M3" s="112"/>
    </row>
    <row r="4" spans="2:18" ht="30.75" customHeight="1">
      <c r="B4" s="43" t="s">
        <v>125</v>
      </c>
      <c r="C4" s="49">
        <v>2023</v>
      </c>
      <c r="D4" s="50">
        <v>2024</v>
      </c>
      <c r="E4" s="51">
        <v>2025</v>
      </c>
      <c r="F4" s="51" t="s">
        <v>126</v>
      </c>
      <c r="G4" s="51" t="s">
        <v>127</v>
      </c>
      <c r="H4" s="52">
        <v>2027</v>
      </c>
      <c r="I4" s="52">
        <v>2028</v>
      </c>
      <c r="J4" s="52">
        <v>2029</v>
      </c>
      <c r="K4" s="52">
        <v>2030</v>
      </c>
      <c r="L4" s="52">
        <v>2031</v>
      </c>
      <c r="M4" s="53">
        <v>2032</v>
      </c>
      <c r="N4" s="48">
        <v>2033</v>
      </c>
      <c r="O4" s="46">
        <v>2034</v>
      </c>
      <c r="P4" s="78">
        <v>2035</v>
      </c>
      <c r="Q4" s="51" t="s">
        <v>128</v>
      </c>
    </row>
    <row r="5" spans="2:18" ht="17.25" customHeight="1">
      <c r="B5" s="25" t="s">
        <v>129</v>
      </c>
      <c r="C5" s="3">
        <f>'Исходные данные'!C5</f>
        <v>21756.622318000002</v>
      </c>
      <c r="D5" s="3">
        <f>'Исходные данные'!D5</f>
        <v>33826.315406299997</v>
      </c>
      <c r="E5" s="3">
        <f>'Исходные данные'!E5</f>
        <v>40782.587884200002</v>
      </c>
      <c r="F5" s="3">
        <f>SUM('Исходные данные'!F13:F18)+('Исходные данные'!F19*24/31)</f>
        <v>18599.074810119357</v>
      </c>
      <c r="G5" s="3">
        <f>SUM('Исходные данные'!F19:F24)</f>
        <v>22823.042189366664</v>
      </c>
      <c r="H5" s="3">
        <f>'Исходные данные'!F25</f>
        <v>38596.26872206667</v>
      </c>
      <c r="I5" s="3">
        <f t="shared" ref="I5:M10" si="0">H5</f>
        <v>38596.26872206667</v>
      </c>
      <c r="J5" s="3">
        <f t="shared" si="0"/>
        <v>38596.26872206667</v>
      </c>
      <c r="K5" s="3">
        <f t="shared" si="0"/>
        <v>38596.26872206667</v>
      </c>
      <c r="L5" s="3">
        <f t="shared" si="0"/>
        <v>38596.26872206667</v>
      </c>
      <c r="M5" s="3">
        <f t="shared" si="0"/>
        <v>38596.26872206667</v>
      </c>
      <c r="N5" s="3">
        <f t="shared" ref="N5:N10" si="1">M5</f>
        <v>38596.26872206667</v>
      </c>
      <c r="O5" s="3">
        <f>N5</f>
        <v>38596.26872206667</v>
      </c>
      <c r="P5" s="3">
        <f>O5</f>
        <v>38596.26872206667</v>
      </c>
      <c r="Q5" s="3">
        <f>SUM('Исходные данные'!F13:F18)+('Исходные данные'!F19*24/31)</f>
        <v>18599.074810119357</v>
      </c>
    </row>
    <row r="6" spans="2:18" ht="29.1" customHeight="1">
      <c r="B6" s="26" t="s">
        <v>130</v>
      </c>
      <c r="C6" s="9">
        <f>Абгаз_состав!R8</f>
        <v>1.4861381128520763</v>
      </c>
      <c r="D6" s="9">
        <f>Абгаз_состав!R27</f>
        <v>1.6283568877979429</v>
      </c>
      <c r="E6" s="58">
        <f>Абгаз_состав!R46</f>
        <v>1.5334574047099581</v>
      </c>
      <c r="F6" s="58">
        <f>Абгаз_состав!R65</f>
        <v>1.3728021157436325</v>
      </c>
      <c r="G6" s="9">
        <f>Абгаз_состав!R65</f>
        <v>1.3728021157436325</v>
      </c>
      <c r="H6" s="9">
        <f>AVERAGE(C6:G6)</f>
        <v>1.4787113273694485</v>
      </c>
      <c r="I6" s="9">
        <f>H6</f>
        <v>1.4787113273694485</v>
      </c>
      <c r="J6" s="9">
        <f t="shared" si="0"/>
        <v>1.4787113273694485</v>
      </c>
      <c r="K6" s="9">
        <f t="shared" si="0"/>
        <v>1.4787113273694485</v>
      </c>
      <c r="L6" s="9">
        <f t="shared" si="0"/>
        <v>1.4787113273694485</v>
      </c>
      <c r="M6" s="9">
        <f t="shared" si="0"/>
        <v>1.4787113273694485</v>
      </c>
      <c r="N6" s="9">
        <f t="shared" si="1"/>
        <v>1.4787113273694485</v>
      </c>
      <c r="O6" s="9">
        <f>N6</f>
        <v>1.4787113273694485</v>
      </c>
      <c r="P6" s="9">
        <f>O6</f>
        <v>1.4787113273694485</v>
      </c>
      <c r="Q6" s="9">
        <f>P6</f>
        <v>1.4787113273694485</v>
      </c>
    </row>
    <row r="7" spans="2:18" ht="29.1" customHeight="1">
      <c r="B7" s="26" t="s">
        <v>131</v>
      </c>
      <c r="C7" s="63">
        <f>Абгаз_состав!T8</f>
        <v>7.6465917560447361E-5</v>
      </c>
      <c r="D7" s="63">
        <f>Абгаз_состав!T27</f>
        <v>1.1764493371323351E-4</v>
      </c>
      <c r="E7" s="64">
        <f>Абгаз_состав!T46</f>
        <v>1.3743777000222509E-4</v>
      </c>
      <c r="F7" s="64">
        <f>Абгаз_состав!T65</f>
        <v>1.1487524653329099E-4</v>
      </c>
      <c r="G7" s="63">
        <f>Абгаз_состав!T65</f>
        <v>1.1487524653329099E-4</v>
      </c>
      <c r="H7" s="63">
        <f>AVERAGE(C7:G7)</f>
        <v>1.1225982286849759E-4</v>
      </c>
      <c r="I7" s="63">
        <f>H7</f>
        <v>1.1225982286849759E-4</v>
      </c>
      <c r="J7" s="63">
        <f t="shared" si="0"/>
        <v>1.1225982286849759E-4</v>
      </c>
      <c r="K7" s="63">
        <f t="shared" si="0"/>
        <v>1.1225982286849759E-4</v>
      </c>
      <c r="L7" s="63">
        <f t="shared" si="0"/>
        <v>1.1225982286849759E-4</v>
      </c>
      <c r="M7" s="63">
        <f t="shared" si="0"/>
        <v>1.1225982286849759E-4</v>
      </c>
      <c r="N7" s="63">
        <f t="shared" si="1"/>
        <v>1.1225982286849759E-4</v>
      </c>
      <c r="O7" s="63">
        <f t="shared" ref="O7:Q8" si="2">N7</f>
        <v>1.1225982286849759E-4</v>
      </c>
      <c r="P7" s="63">
        <f t="shared" si="2"/>
        <v>1.1225982286849759E-4</v>
      </c>
      <c r="Q7" s="63">
        <f t="shared" si="2"/>
        <v>1.1225982286849759E-4</v>
      </c>
    </row>
    <row r="8" spans="2:18" ht="29.1" customHeight="1">
      <c r="B8" s="26" t="s">
        <v>132</v>
      </c>
      <c r="C8" s="9">
        <f>'Исходные данные'!C9/1000</f>
        <v>3629.3723887000001</v>
      </c>
      <c r="D8" s="9">
        <f>'Исходные данные'!D9/1000</f>
        <v>7457.33310059</v>
      </c>
      <c r="E8" s="9">
        <f>'Исходные данные'!E9/1000</f>
        <v>10652.6994077</v>
      </c>
      <c r="F8" s="9">
        <f>SUM('Исходные данные'!R30:R35)/1000+('Исходные данные'!R36*24/31/1000)</f>
        <v>5183.3146814724187</v>
      </c>
      <c r="G8" s="9">
        <f>SUM('Исходные данные'!R37:R41)/1000+('Исходные данные'!R36*7/31/1000)</f>
        <v>4058.7512634392474</v>
      </c>
      <c r="H8" s="9">
        <f>'Исходные данные'!T42/1000</f>
        <v>9038.0873017783324</v>
      </c>
      <c r="I8" s="9">
        <f>H8</f>
        <v>9038.0873017783324</v>
      </c>
      <c r="J8" s="9">
        <f t="shared" si="0"/>
        <v>9038.0873017783324</v>
      </c>
      <c r="K8" s="9">
        <f t="shared" si="0"/>
        <v>9038.0873017783324</v>
      </c>
      <c r="L8" s="9">
        <f t="shared" si="0"/>
        <v>9038.0873017783324</v>
      </c>
      <c r="M8" s="9">
        <f t="shared" si="0"/>
        <v>9038.0873017783324</v>
      </c>
      <c r="N8" s="9">
        <f t="shared" si="1"/>
        <v>9038.0873017783324</v>
      </c>
      <c r="O8" s="9">
        <f t="shared" si="2"/>
        <v>9038.0873017783324</v>
      </c>
      <c r="P8" s="9">
        <f t="shared" si="2"/>
        <v>9038.0873017783324</v>
      </c>
      <c r="Q8" s="9">
        <f>(SUM('Исходные данные'!T30:T35)+('Исходные данные'!T36*24/31))/1000</f>
        <v>4979.3360383390855</v>
      </c>
    </row>
    <row r="9" spans="2:18" ht="33">
      <c r="B9" s="26" t="s">
        <v>140</v>
      </c>
      <c r="C9" s="70">
        <f>ПГ_состав!V5</f>
        <v>1.8816825613277717</v>
      </c>
      <c r="D9" s="70">
        <f>ПГ_состав!V24</f>
        <v>1.8888208008629852</v>
      </c>
      <c r="E9" s="70">
        <f>ПГ_состав!V43</f>
        <v>1.8975408180279498</v>
      </c>
      <c r="F9" s="70">
        <f>ПГ_состав!V62</f>
        <v>1.8811811630130602</v>
      </c>
      <c r="G9" s="70">
        <f>ПГ_состав!V62</f>
        <v>1.8811811630130602</v>
      </c>
      <c r="H9" s="70">
        <f>AVERAGE(C9:G9)</f>
        <v>1.8860813012489654</v>
      </c>
      <c r="I9" s="70">
        <f>H9</f>
        <v>1.8860813012489654</v>
      </c>
      <c r="J9" s="70">
        <f t="shared" si="0"/>
        <v>1.8860813012489654</v>
      </c>
      <c r="K9" s="70">
        <f t="shared" si="0"/>
        <v>1.8860813012489654</v>
      </c>
      <c r="L9" s="70">
        <f t="shared" si="0"/>
        <v>1.8860813012489654</v>
      </c>
      <c r="M9" s="70">
        <f t="shared" si="0"/>
        <v>1.8860813012489654</v>
      </c>
      <c r="N9" s="70">
        <f t="shared" si="1"/>
        <v>1.8860813012489654</v>
      </c>
      <c r="O9" s="70">
        <f t="shared" ref="O9:Q9" si="3">N9</f>
        <v>1.8860813012489654</v>
      </c>
      <c r="P9" s="70">
        <f t="shared" si="3"/>
        <v>1.8860813012489654</v>
      </c>
      <c r="Q9" s="70">
        <f t="shared" si="3"/>
        <v>1.8860813012489654</v>
      </c>
    </row>
    <row r="10" spans="2:18" ht="33">
      <c r="B10" s="26" t="s">
        <v>143</v>
      </c>
      <c r="C10" s="79">
        <f>ПГ_состав!X5</f>
        <v>3.8386953999999996E-4</v>
      </c>
      <c r="D10" s="79">
        <f>ПГ_состав!X24</f>
        <v>3.8355558000000001E-4</v>
      </c>
      <c r="E10" s="80">
        <f>ПГ_состав!X43</f>
        <v>3.8379605999999992E-4</v>
      </c>
      <c r="F10" s="80">
        <f>ПГ_состав!X62</f>
        <v>3.8593032000000006E-4</v>
      </c>
      <c r="G10" s="79">
        <f>ПГ_состав!X62</f>
        <v>3.8593032000000006E-4</v>
      </c>
      <c r="H10" s="79">
        <f>AVERAGE(C10:G10)</f>
        <v>3.8461636399999996E-4</v>
      </c>
      <c r="I10" s="79">
        <f>H10</f>
        <v>3.8461636399999996E-4</v>
      </c>
      <c r="J10" s="79">
        <f t="shared" si="0"/>
        <v>3.8461636399999996E-4</v>
      </c>
      <c r="K10" s="79">
        <f t="shared" si="0"/>
        <v>3.8461636399999996E-4</v>
      </c>
      <c r="L10" s="79">
        <f t="shared" si="0"/>
        <v>3.8461636399999996E-4</v>
      </c>
      <c r="M10" s="79">
        <f t="shared" si="0"/>
        <v>3.8461636399999996E-4</v>
      </c>
      <c r="N10" s="79">
        <f t="shared" si="1"/>
        <v>3.8461636399999996E-4</v>
      </c>
      <c r="O10" s="79">
        <f t="shared" ref="O10:Q10" si="4">N10</f>
        <v>3.8461636399999996E-4</v>
      </c>
      <c r="P10" s="79">
        <f t="shared" si="4"/>
        <v>3.8461636399999996E-4</v>
      </c>
      <c r="Q10" s="79">
        <f t="shared" si="4"/>
        <v>3.8461636399999996E-4</v>
      </c>
      <c r="R10" s="3" t="s">
        <v>27</v>
      </c>
    </row>
    <row r="11" spans="2:18" ht="17.25" customHeight="1">
      <c r="B11" s="82" t="s">
        <v>133</v>
      </c>
      <c r="C11" s="73">
        <f>C5*C6+C9*C8</f>
        <v>39162.672366089202</v>
      </c>
      <c r="D11" s="73">
        <f t="shared" ref="D11:P11" si="5">D5*D6+D9*D8</f>
        <v>69166.879560032714</v>
      </c>
      <c r="E11" s="73">
        <f t="shared" si="5"/>
        <v>82752.293322554033</v>
      </c>
      <c r="F11" s="73">
        <f>F5*F6+F9*F8</f>
        <v>35283.603190960908</v>
      </c>
      <c r="G11" s="73">
        <f>G5*G6+G9*G8</f>
        <v>38966.767027406117</v>
      </c>
      <c r="H11" s="73">
        <f t="shared" si="5"/>
        <v>74119.307212454965</v>
      </c>
      <c r="I11" s="73">
        <f t="shared" si="5"/>
        <v>74119.307212454965</v>
      </c>
      <c r="J11" s="73">
        <f t="shared" si="5"/>
        <v>74119.307212454965</v>
      </c>
      <c r="K11" s="73">
        <f t="shared" si="5"/>
        <v>74119.307212454965</v>
      </c>
      <c r="L11" s="73">
        <f t="shared" si="5"/>
        <v>74119.307212454965</v>
      </c>
      <c r="M11" s="73">
        <f t="shared" si="5"/>
        <v>74119.307212454965</v>
      </c>
      <c r="N11" s="73">
        <f t="shared" si="5"/>
        <v>74119.307212454965</v>
      </c>
      <c r="O11" s="73">
        <f t="shared" si="5"/>
        <v>74119.307212454965</v>
      </c>
      <c r="P11" s="73">
        <f t="shared" si="5"/>
        <v>74119.307212454965</v>
      </c>
      <c r="Q11" s="73">
        <f t="shared" ref="Q11" si="6">Q5*Q6+Q9*Q8</f>
        <v>36894.095194861715</v>
      </c>
      <c r="R11" s="74">
        <f>SUM(F11:Q11)</f>
        <v>778218.23032532353</v>
      </c>
    </row>
    <row r="12" spans="2:18" ht="17.25" customHeight="1">
      <c r="B12" s="83" t="s">
        <v>134</v>
      </c>
      <c r="C12" s="73">
        <f>((C8*C10)+(C5*C7))*Абгаз_состав!$C$85</f>
        <v>85.591676741226536</v>
      </c>
      <c r="D12" s="73">
        <f>((D8*D10)+(D5*D7))*Абгаз_состав!$C$85</f>
        <v>191.51429797883847</v>
      </c>
      <c r="E12" s="73">
        <f>((E8*E10)+(E5*E7))*Абгаз_состав!$C$85</f>
        <v>271.41889585338652</v>
      </c>
      <c r="F12" s="73">
        <f>((F8*F10)+(F5*F7))*Абгаз_состав!$C$85</f>
        <v>115.83520473797812</v>
      </c>
      <c r="G12" s="73">
        <f>((G8*G10)+(G5*G7))*Абгаз_состав!$C$85</f>
        <v>117.26953761719589</v>
      </c>
      <c r="H12" s="73">
        <f>((H8*H10)+(H5*H7))*Абгаз_состав!$C$85</f>
        <v>218.65218383816335</v>
      </c>
      <c r="I12" s="73">
        <f>((I8*I10)+(I5*I7))*Абгаз_состав!$C$85</f>
        <v>218.65218383816335</v>
      </c>
      <c r="J12" s="73">
        <f>((J8*J10)+(J5*J7))*Абгаз_состав!$C$85</f>
        <v>218.65218383816335</v>
      </c>
      <c r="K12" s="73">
        <f>((K8*K10)+(K5*K7))*Абгаз_состав!$C$85</f>
        <v>218.65218383816335</v>
      </c>
      <c r="L12" s="73">
        <f>((L8*L10)+(L5*L7))*Абгаз_состав!$C$85</f>
        <v>218.65218383816335</v>
      </c>
      <c r="M12" s="73">
        <f>((M8*M10)+(M5*M7))*Абгаз_состав!$C$85</f>
        <v>218.65218383816335</v>
      </c>
      <c r="N12" s="73">
        <f>((N8*N10)+(N5*N7))*Абгаз_состав!$C$85</f>
        <v>218.65218383816335</v>
      </c>
      <c r="O12" s="73">
        <f>((O8*O10)+(O5*O7))*Абгаз_состав!$C$85</f>
        <v>218.65218383816335</v>
      </c>
      <c r="P12" s="73">
        <f>((P8*P10)+(P5*P7))*Абгаз_состав!$C$85</f>
        <v>218.65218383816335</v>
      </c>
      <c r="Q12" s="73">
        <f>((Q8*Q10)+(Q5*Q7))*Абгаз_состав!$C$85</f>
        <v>112.08576304525819</v>
      </c>
      <c r="R12" s="74">
        <f>SUM(F12:Q12)</f>
        <v>2313.0601599439028</v>
      </c>
    </row>
    <row r="13" spans="2:18" ht="17.25" customHeight="1">
      <c r="B13" s="83" t="s">
        <v>135</v>
      </c>
      <c r="C13" s="73">
        <f>SUM(C11:C12)</f>
        <v>39248.264042830429</v>
      </c>
      <c r="D13" s="73">
        <f>SUM(D11:D12)</f>
        <v>69358.39385801155</v>
      </c>
      <c r="E13" s="73">
        <f t="shared" ref="E13:P13" si="7">SUM(E11:E12)</f>
        <v>83023.712218407425</v>
      </c>
      <c r="F13" s="73">
        <f>SUM(F11:F12)</f>
        <v>35399.43839569889</v>
      </c>
      <c r="G13" s="73">
        <f>SUM(G11:G12)</f>
        <v>39084.036565023314</v>
      </c>
      <c r="H13" s="73">
        <f t="shared" si="7"/>
        <v>74337.959396293125</v>
      </c>
      <c r="I13" s="73">
        <f t="shared" si="7"/>
        <v>74337.959396293125</v>
      </c>
      <c r="J13" s="73">
        <f t="shared" si="7"/>
        <v>74337.959396293125</v>
      </c>
      <c r="K13" s="73">
        <f t="shared" si="7"/>
        <v>74337.959396293125</v>
      </c>
      <c r="L13" s="73">
        <f t="shared" si="7"/>
        <v>74337.959396293125</v>
      </c>
      <c r="M13" s="73">
        <f t="shared" si="7"/>
        <v>74337.959396293125</v>
      </c>
      <c r="N13" s="73">
        <f t="shared" si="7"/>
        <v>74337.959396293125</v>
      </c>
      <c r="O13" s="73">
        <f t="shared" si="7"/>
        <v>74337.959396293125</v>
      </c>
      <c r="P13" s="73">
        <f t="shared" si="7"/>
        <v>74337.959396293125</v>
      </c>
      <c r="Q13" s="73">
        <f t="shared" ref="Q13" si="8">SUM(Q11:Q12)</f>
        <v>37006.180957906974</v>
      </c>
      <c r="R13" s="74">
        <f>SUM(F13:Q13)</f>
        <v>780531.29048526753</v>
      </c>
    </row>
    <row r="14" spans="2:18">
      <c r="Q14" s="4"/>
    </row>
    <row r="15" spans="2:18" ht="30" customHeight="1">
      <c r="B15" s="43" t="s">
        <v>136</v>
      </c>
      <c r="C15" s="44">
        <v>2023</v>
      </c>
      <c r="D15" s="45">
        <v>2024</v>
      </c>
      <c r="E15" s="51">
        <v>2025</v>
      </c>
      <c r="F15" s="51" t="s">
        <v>126</v>
      </c>
      <c r="G15" s="51" t="s">
        <v>127</v>
      </c>
      <c r="H15" s="47">
        <v>2027</v>
      </c>
      <c r="I15" s="47">
        <v>2028</v>
      </c>
      <c r="J15" s="47">
        <v>2029</v>
      </c>
      <c r="K15" s="47">
        <v>2030</v>
      </c>
      <c r="L15" s="47">
        <v>2031</v>
      </c>
      <c r="M15" s="48">
        <v>2032</v>
      </c>
      <c r="N15" s="48">
        <v>2033</v>
      </c>
      <c r="O15" s="46">
        <v>2034</v>
      </c>
      <c r="P15" s="78">
        <v>2035</v>
      </c>
      <c r="Q15" s="51" t="s">
        <v>128</v>
      </c>
    </row>
    <row r="16" spans="2:18">
      <c r="B16" s="25" t="s">
        <v>129</v>
      </c>
      <c r="C16" s="3">
        <f>'Исходные данные'!C5</f>
        <v>21756.622318000002</v>
      </c>
      <c r="D16" s="3">
        <f>'Исходные данные'!D5</f>
        <v>33826.315406299997</v>
      </c>
      <c r="E16" s="3">
        <f>'Исходные данные'!E5</f>
        <v>40782.587884200002</v>
      </c>
      <c r="F16" s="3">
        <f>SUM('Исходные данные'!F13:F18)</f>
        <v>15773.2265327</v>
      </c>
      <c r="G16" s="68">
        <f>SUM('Исходные данные'!F19:F24)</f>
        <v>22823.042189366664</v>
      </c>
      <c r="H16" s="3">
        <f>'Исходные данные'!F25</f>
        <v>38596.26872206667</v>
      </c>
      <c r="I16" s="3">
        <f t="shared" ref="I16:M21" si="9">H16</f>
        <v>38596.26872206667</v>
      </c>
      <c r="J16" s="3">
        <f t="shared" si="9"/>
        <v>38596.26872206667</v>
      </c>
      <c r="K16" s="3">
        <f t="shared" si="9"/>
        <v>38596.26872206667</v>
      </c>
      <c r="L16" s="3">
        <f t="shared" si="9"/>
        <v>38596.26872206667</v>
      </c>
      <c r="M16" s="3">
        <f t="shared" si="9"/>
        <v>38596.26872206667</v>
      </c>
      <c r="N16" s="3">
        <f t="shared" ref="N16:Q21" si="10">M16</f>
        <v>38596.26872206667</v>
      </c>
      <c r="O16" s="3">
        <f>N16</f>
        <v>38596.26872206667</v>
      </c>
      <c r="P16" s="3">
        <f>O16</f>
        <v>38596.26872206667</v>
      </c>
      <c r="Q16" s="68">
        <f>SUM('Исходные данные'!F13:F18)+('Исходные данные'!F19*24/31)</f>
        <v>18599.074810119357</v>
      </c>
    </row>
    <row r="17" spans="2:18" ht="33">
      <c r="B17" s="26" t="s">
        <v>130</v>
      </c>
      <c r="C17" s="9">
        <f>Абгаз_состав!R8</f>
        <v>1.4861381128520763</v>
      </c>
      <c r="D17" s="9">
        <f>Абгаз_состав!R27</f>
        <v>1.6283568877979429</v>
      </c>
      <c r="E17" s="58">
        <f>Абгаз_состав!R46</f>
        <v>1.5334574047099581</v>
      </c>
      <c r="F17" s="58">
        <f>Абгаз_состав!R65</f>
        <v>1.3728021157436325</v>
      </c>
      <c r="G17" s="9">
        <f>Абгаз_состав!R65</f>
        <v>1.3728021157436325</v>
      </c>
      <c r="H17" s="9">
        <f>AVERAGE(C17:G17)</f>
        <v>1.4787113273694485</v>
      </c>
      <c r="I17" s="9">
        <f>H17</f>
        <v>1.4787113273694485</v>
      </c>
      <c r="J17" s="9">
        <f t="shared" si="9"/>
        <v>1.4787113273694485</v>
      </c>
      <c r="K17" s="9">
        <f t="shared" si="9"/>
        <v>1.4787113273694485</v>
      </c>
      <c r="L17" s="9">
        <f t="shared" si="9"/>
        <v>1.4787113273694485</v>
      </c>
      <c r="M17" s="9">
        <f t="shared" si="9"/>
        <v>1.4787113273694485</v>
      </c>
      <c r="N17" s="9">
        <f t="shared" si="10"/>
        <v>1.4787113273694485</v>
      </c>
      <c r="O17" s="9">
        <f>N17</f>
        <v>1.4787113273694485</v>
      </c>
      <c r="P17" s="9">
        <f>O17</f>
        <v>1.4787113273694485</v>
      </c>
      <c r="Q17" s="9">
        <f>P17</f>
        <v>1.4787113273694485</v>
      </c>
    </row>
    <row r="18" spans="2:18" ht="33">
      <c r="B18" s="26" t="s">
        <v>131</v>
      </c>
      <c r="C18" s="63">
        <f>Абгаз_состав!T8</f>
        <v>7.6465917560447361E-5</v>
      </c>
      <c r="D18" s="63">
        <f>Абгаз_состав!T27</f>
        <v>1.1764493371323351E-4</v>
      </c>
      <c r="E18" s="64">
        <f>Абгаз_состав!T46</f>
        <v>1.3743777000222509E-4</v>
      </c>
      <c r="F18" s="64">
        <f>Абгаз_состав!T65</f>
        <v>1.1487524653329099E-4</v>
      </c>
      <c r="G18" s="63">
        <f>Абгаз_состав!T65</f>
        <v>1.1487524653329099E-4</v>
      </c>
      <c r="H18" s="63">
        <f>AVERAGE(C18:G18)</f>
        <v>1.1225982286849759E-4</v>
      </c>
      <c r="I18" s="63">
        <f>H18</f>
        <v>1.1225982286849759E-4</v>
      </c>
      <c r="J18" s="63">
        <f t="shared" si="9"/>
        <v>1.1225982286849759E-4</v>
      </c>
      <c r="K18" s="63">
        <f t="shared" si="9"/>
        <v>1.1225982286849759E-4</v>
      </c>
      <c r="L18" s="63">
        <f t="shared" si="9"/>
        <v>1.1225982286849759E-4</v>
      </c>
      <c r="M18" s="63">
        <f t="shared" si="9"/>
        <v>1.1225982286849759E-4</v>
      </c>
      <c r="N18" s="63">
        <f t="shared" si="10"/>
        <v>1.1225982286849759E-4</v>
      </c>
      <c r="O18" s="63">
        <f t="shared" si="10"/>
        <v>1.1225982286849759E-4</v>
      </c>
      <c r="P18" s="63">
        <f t="shared" si="10"/>
        <v>1.1225982286849759E-4</v>
      </c>
      <c r="Q18" s="63">
        <f t="shared" si="10"/>
        <v>1.1225982286849759E-4</v>
      </c>
    </row>
    <row r="19" spans="2:18">
      <c r="B19" s="26" t="s">
        <v>146</v>
      </c>
      <c r="C19" s="70">
        <f>'Исходные данные'!C9/1000</f>
        <v>3629.3723887000001</v>
      </c>
      <c r="D19" s="70">
        <f>'Исходные данные'!D9/1000</f>
        <v>7457.33310059</v>
      </c>
      <c r="E19" s="70">
        <f>'Исходные данные'!E9/1000</f>
        <v>10652.6994077</v>
      </c>
      <c r="F19" s="70">
        <f>SUM('Исходные данные'!S30:S36)/1000</f>
        <v>4772.8668381740317</v>
      </c>
      <c r="G19" s="9">
        <f>SUM('Исходные данные'!S37:S41)/1000</f>
        <v>0</v>
      </c>
      <c r="H19" s="9">
        <f>'Исходные данные'!U42</f>
        <v>0</v>
      </c>
      <c r="I19" s="9">
        <f>H19</f>
        <v>0</v>
      </c>
      <c r="J19" s="9">
        <f t="shared" si="9"/>
        <v>0</v>
      </c>
      <c r="K19" s="9">
        <f t="shared" si="9"/>
        <v>0</v>
      </c>
      <c r="L19" s="9">
        <f t="shared" si="9"/>
        <v>0</v>
      </c>
      <c r="M19" s="9">
        <f t="shared" si="9"/>
        <v>0</v>
      </c>
      <c r="N19" s="9">
        <f t="shared" si="10"/>
        <v>0</v>
      </c>
      <c r="O19" s="9">
        <f t="shared" si="10"/>
        <v>0</v>
      </c>
      <c r="P19" s="9">
        <f t="shared" si="10"/>
        <v>0</v>
      </c>
      <c r="Q19" s="9">
        <f>P19</f>
        <v>0</v>
      </c>
    </row>
    <row r="20" spans="2:18" ht="33">
      <c r="B20" s="26" t="s">
        <v>141</v>
      </c>
      <c r="C20" s="71">
        <f>ПГ_состав!V5</f>
        <v>1.8816825613277717</v>
      </c>
      <c r="D20" s="71">
        <f>ПГ_состав!V24</f>
        <v>1.8888208008629852</v>
      </c>
      <c r="E20" s="72">
        <f>ПГ_состав!V43</f>
        <v>1.8975408180279498</v>
      </c>
      <c r="F20" s="72">
        <f>ПГ_состав!V62</f>
        <v>1.8811811630130602</v>
      </c>
      <c r="G20" s="10">
        <f>ПГ_состав!V62</f>
        <v>1.8811811630130602</v>
      </c>
      <c r="H20" s="10">
        <f>AVERAGE(C20:G20)</f>
        <v>1.8860813012489654</v>
      </c>
      <c r="I20" s="10">
        <f>H20</f>
        <v>1.8860813012489654</v>
      </c>
      <c r="J20" s="10">
        <f t="shared" si="9"/>
        <v>1.8860813012489654</v>
      </c>
      <c r="K20" s="10">
        <f t="shared" si="9"/>
        <v>1.8860813012489654</v>
      </c>
      <c r="L20" s="10">
        <f t="shared" si="9"/>
        <v>1.8860813012489654</v>
      </c>
      <c r="M20" s="10">
        <f t="shared" si="9"/>
        <v>1.8860813012489654</v>
      </c>
      <c r="N20" s="10">
        <f t="shared" si="10"/>
        <v>1.8860813012489654</v>
      </c>
      <c r="O20" s="10">
        <f t="shared" si="10"/>
        <v>1.8860813012489654</v>
      </c>
      <c r="P20" s="10">
        <f>O20</f>
        <v>1.8860813012489654</v>
      </c>
      <c r="Q20" s="10">
        <f>P20</f>
        <v>1.8860813012489654</v>
      </c>
    </row>
    <row r="21" spans="2:18" ht="33">
      <c r="B21" s="26" t="s">
        <v>143</v>
      </c>
      <c r="C21" s="71">
        <f>ПГ_состав!X5</f>
        <v>3.8386953999999996E-4</v>
      </c>
      <c r="D21" s="71">
        <f>ПГ_состав!X24</f>
        <v>3.8355558000000001E-4</v>
      </c>
      <c r="E21" s="72">
        <f>ПГ_состав!X43</f>
        <v>3.8379605999999992E-4</v>
      </c>
      <c r="F21" s="72">
        <f>ПГ_состав!X62</f>
        <v>3.8593032000000006E-4</v>
      </c>
      <c r="G21" s="10">
        <f>ПГ_состав!X62</f>
        <v>3.8593032000000006E-4</v>
      </c>
      <c r="H21" s="10">
        <f>AVERAGE(C21:G21)</f>
        <v>3.8461636399999996E-4</v>
      </c>
      <c r="I21" s="10">
        <f>H21</f>
        <v>3.8461636399999996E-4</v>
      </c>
      <c r="J21" s="10">
        <f t="shared" si="9"/>
        <v>3.8461636399999996E-4</v>
      </c>
      <c r="K21" s="10">
        <f t="shared" si="9"/>
        <v>3.8461636399999996E-4</v>
      </c>
      <c r="L21" s="10">
        <f t="shared" si="9"/>
        <v>3.8461636399999996E-4</v>
      </c>
      <c r="M21" s="10">
        <f t="shared" si="9"/>
        <v>3.8461636399999996E-4</v>
      </c>
      <c r="N21" s="10">
        <f t="shared" si="10"/>
        <v>3.8461636399999996E-4</v>
      </c>
      <c r="O21" s="10">
        <f t="shared" si="10"/>
        <v>3.8461636399999996E-4</v>
      </c>
      <c r="P21" s="10">
        <f t="shared" si="10"/>
        <v>3.8461636399999996E-4</v>
      </c>
      <c r="Q21" s="10">
        <f>P21</f>
        <v>3.8461636399999996E-4</v>
      </c>
      <c r="R21" s="3" t="s">
        <v>27</v>
      </c>
    </row>
    <row r="22" spans="2:18" ht="16.5">
      <c r="B22" s="82" t="s">
        <v>133</v>
      </c>
      <c r="C22" s="74">
        <f>C16*C17+C19*C20</f>
        <v>39162.672366089202</v>
      </c>
      <c r="D22" s="74">
        <f t="shared" ref="D22:E22" si="11">D16*D17+D19*D20</f>
        <v>69166.879560032714</v>
      </c>
      <c r="E22" s="74">
        <f t="shared" si="11"/>
        <v>82752.293322554033</v>
      </c>
      <c r="F22" s="74">
        <f t="shared" ref="F22" si="12">F16*F17+F19*F20</f>
        <v>30632.145945736855</v>
      </c>
      <c r="G22" s="74">
        <f>G16*G17+G19*G20</f>
        <v>31331.520605268743</v>
      </c>
      <c r="H22" s="74">
        <f>H16*H17+H19*H20</f>
        <v>57072.739753515132</v>
      </c>
      <c r="I22" s="74">
        <f t="shared" ref="I22:P22" si="13">I16*I17+I19*I20</f>
        <v>57072.739753515132</v>
      </c>
      <c r="J22" s="74">
        <f t="shared" si="13"/>
        <v>57072.739753515132</v>
      </c>
      <c r="K22" s="74">
        <f t="shared" si="13"/>
        <v>57072.739753515132</v>
      </c>
      <c r="L22" s="74">
        <f t="shared" si="13"/>
        <v>57072.739753515132</v>
      </c>
      <c r="M22" s="74">
        <f t="shared" si="13"/>
        <v>57072.739753515132</v>
      </c>
      <c r="N22" s="74">
        <f t="shared" si="13"/>
        <v>57072.739753515132</v>
      </c>
      <c r="O22" s="74">
        <f t="shared" si="13"/>
        <v>57072.739753515132</v>
      </c>
      <c r="P22" s="74">
        <f t="shared" si="13"/>
        <v>57072.739753515132</v>
      </c>
      <c r="Q22" s="74">
        <f>Q16*Q17+Q19*Q20</f>
        <v>27502.662600315267</v>
      </c>
      <c r="R22" s="74">
        <f>SUM(F22:Q22)</f>
        <v>603120.98693295696</v>
      </c>
    </row>
    <row r="23" spans="2:18" ht="16.5">
      <c r="B23" s="83" t="s">
        <v>134</v>
      </c>
      <c r="C23" s="74">
        <f>((C19*C21)+(C16*C18))*Абгаз_состав!$C$85</f>
        <v>85.591676741226536</v>
      </c>
      <c r="D23" s="74">
        <f>((D19*D21)+(D16*D18))*Абгаз_состав!$C$85</f>
        <v>191.51429797883847</v>
      </c>
      <c r="E23" s="74">
        <f>((E19*E21)+(E16*E18))*Абгаз_состав!$C$85</f>
        <v>271.41889585338652</v>
      </c>
      <c r="F23" s="74">
        <f>((F19*F21)+(F16*F18))*Абгаз_состав!$C$85</f>
        <v>102.31052475681103</v>
      </c>
      <c r="G23" s="74">
        <f>((G19*G21)+(G16*G18))*Абгаз_состав!$C$85</f>
        <v>73.410472748009511</v>
      </c>
      <c r="H23" s="74">
        <f>((H19*H21)+(H16*H18))*Абгаз_состав!$C$85</f>
        <v>121.31868812347588</v>
      </c>
      <c r="I23" s="74">
        <f>((I19*I21)+(I16*I18))*Абгаз_состав!$C$85</f>
        <v>121.31868812347588</v>
      </c>
      <c r="J23" s="74">
        <f>((J19*J21)+(J16*J18))*Абгаз_состав!$C$85</f>
        <v>121.31868812347588</v>
      </c>
      <c r="K23" s="74">
        <f>((K19*K21)+(K16*K18))*Абгаз_состав!$C$85</f>
        <v>121.31868812347588</v>
      </c>
      <c r="L23" s="74">
        <f>((L19*L21)+(L16*L18))*Абгаз_состав!$C$85</f>
        <v>121.31868812347588</v>
      </c>
      <c r="M23" s="74">
        <f>((M19*M21)+(M16*M18))*Абгаз_состав!$C$85</f>
        <v>121.31868812347588</v>
      </c>
      <c r="N23" s="74">
        <f>((N19*N21)+(N16*N18))*Абгаз_состав!$C$85</f>
        <v>121.31868812347588</v>
      </c>
      <c r="O23" s="74">
        <f>((O19*O21)+(O16*O18))*Абгаз_состав!$C$85</f>
        <v>121.31868812347588</v>
      </c>
      <c r="P23" s="74">
        <f>((P19*P21)+(P16*P18))*Абгаз_состав!$C$85</f>
        <v>121.31868812347588</v>
      </c>
      <c r="Q23" s="74">
        <f>((Q19*Q21)+(Q16*Q18))*Абгаз_состав!$C$85</f>
        <v>58.462007623654159</v>
      </c>
      <c r="R23" s="74">
        <f>SUM(F23:Q23)</f>
        <v>1326.0511982397577</v>
      </c>
    </row>
    <row r="24" spans="2:18" ht="17.25" customHeight="1">
      <c r="B24" s="83" t="s">
        <v>135</v>
      </c>
      <c r="C24" s="74">
        <f>SUM(C22:C23)</f>
        <v>39248.264042830429</v>
      </c>
      <c r="D24" s="74">
        <f>SUM(D22:D23)</f>
        <v>69358.39385801155</v>
      </c>
      <c r="E24" s="74">
        <f>SUM(E22:E23)</f>
        <v>83023.712218407425</v>
      </c>
      <c r="F24" s="74">
        <f>SUM(F22:F23)</f>
        <v>30734.456470493667</v>
      </c>
      <c r="G24" s="74">
        <f>SUM(G22:G23)</f>
        <v>31404.931078016751</v>
      </c>
      <c r="H24" s="74">
        <f t="shared" ref="H24:P24" si="14">SUM(H22:H23)</f>
        <v>57194.058441638605</v>
      </c>
      <c r="I24" s="74">
        <f t="shared" si="14"/>
        <v>57194.058441638605</v>
      </c>
      <c r="J24" s="74">
        <f t="shared" si="14"/>
        <v>57194.058441638605</v>
      </c>
      <c r="K24" s="74">
        <f t="shared" si="14"/>
        <v>57194.058441638605</v>
      </c>
      <c r="L24" s="74">
        <f t="shared" si="14"/>
        <v>57194.058441638605</v>
      </c>
      <c r="M24" s="74">
        <f t="shared" si="14"/>
        <v>57194.058441638605</v>
      </c>
      <c r="N24" s="74">
        <f t="shared" si="14"/>
        <v>57194.058441638605</v>
      </c>
      <c r="O24" s="74">
        <f t="shared" si="14"/>
        <v>57194.058441638605</v>
      </c>
      <c r="P24" s="74">
        <f t="shared" si="14"/>
        <v>57194.058441638605</v>
      </c>
      <c r="Q24" s="74">
        <f>SUM(Q22:Q23)</f>
        <v>27561.12460793892</v>
      </c>
      <c r="R24" s="74">
        <f>SUM(F24:Q24)</f>
        <v>604447.03813119675</v>
      </c>
    </row>
    <row r="25" spans="2:18" ht="16.5">
      <c r="B25" s="82" t="s">
        <v>137</v>
      </c>
      <c r="C25" s="75">
        <f t="shared" ref="C25:E25" si="15">C13-C24</f>
        <v>0</v>
      </c>
      <c r="D25" s="75">
        <f t="shared" si="15"/>
        <v>0</v>
      </c>
      <c r="E25" s="75">
        <f t="shared" si="15"/>
        <v>0</v>
      </c>
      <c r="F25" s="75">
        <f t="shared" ref="F25" si="16">F13-F24</f>
        <v>4664.9819252052221</v>
      </c>
      <c r="G25" s="75">
        <f>G13-G24</f>
        <v>7679.1054870065636</v>
      </c>
      <c r="H25" s="75">
        <f t="shared" ref="H25:P25" si="17">H13-H24</f>
        <v>17143.90095465452</v>
      </c>
      <c r="I25" s="75">
        <f t="shared" si="17"/>
        <v>17143.90095465452</v>
      </c>
      <c r="J25" s="75">
        <f t="shared" si="17"/>
        <v>17143.90095465452</v>
      </c>
      <c r="K25" s="75">
        <f t="shared" si="17"/>
        <v>17143.90095465452</v>
      </c>
      <c r="L25" s="75">
        <f t="shared" si="17"/>
        <v>17143.90095465452</v>
      </c>
      <c r="M25" s="75">
        <f t="shared" si="17"/>
        <v>17143.90095465452</v>
      </c>
      <c r="N25" s="75">
        <f t="shared" si="17"/>
        <v>17143.90095465452</v>
      </c>
      <c r="O25" s="75">
        <f t="shared" si="17"/>
        <v>17143.90095465452</v>
      </c>
      <c r="P25" s="75">
        <f t="shared" si="17"/>
        <v>17143.90095465452</v>
      </c>
      <c r="Q25" s="75">
        <f>Q13-Q24</f>
        <v>9445.0563499680538</v>
      </c>
      <c r="R25" s="75">
        <f>SUM(G25:Q25)</f>
        <v>171419.27042886533</v>
      </c>
    </row>
    <row r="28" spans="2:18" ht="15">
      <c r="G28"/>
      <c r="H28" s="1"/>
      <c r="I28" s="1"/>
      <c r="J28" s="1"/>
      <c r="K28" s="1"/>
      <c r="L28" s="1"/>
      <c r="M28" s="1"/>
    </row>
    <row r="29" spans="2:18" ht="15">
      <c r="G29"/>
      <c r="H29" s="1"/>
      <c r="I29" s="1"/>
      <c r="J29" s="1"/>
      <c r="K29" s="1"/>
      <c r="L29" s="1"/>
      <c r="M29" s="1"/>
    </row>
    <row r="30" spans="2:18" ht="15">
      <c r="G30"/>
      <c r="H30" s="1"/>
      <c r="I30" s="1"/>
      <c r="J30" s="1"/>
      <c r="K30" s="1"/>
      <c r="L30" s="1"/>
      <c r="M30" s="1"/>
    </row>
    <row r="31" spans="2:18" ht="15">
      <c r="G31"/>
      <c r="H31" s="1"/>
      <c r="I31" s="1"/>
      <c r="J31" s="1"/>
      <c r="K31" s="1"/>
      <c r="L31" s="1"/>
      <c r="M31" s="1"/>
    </row>
    <row r="32" spans="2:18" ht="15">
      <c r="G32"/>
      <c r="H32" s="1"/>
      <c r="I32" s="1"/>
      <c r="J32" s="1"/>
      <c r="K32" s="1"/>
      <c r="L32" s="1"/>
      <c r="M32" s="1"/>
    </row>
    <row r="33" spans="7:13" ht="15">
      <c r="G33"/>
      <c r="H33" s="1"/>
      <c r="I33" s="1"/>
      <c r="J33" s="1"/>
      <c r="K33" s="1"/>
      <c r="L33" s="1"/>
      <c r="M33" s="1"/>
    </row>
    <row r="34" spans="7:13" ht="15">
      <c r="G34"/>
      <c r="H34" s="1"/>
      <c r="I34" s="1"/>
      <c r="J34" s="1"/>
      <c r="K34" s="1"/>
      <c r="L34" s="1"/>
      <c r="M34" s="1"/>
    </row>
    <row r="35" spans="7:13" ht="15">
      <c r="G35"/>
      <c r="H35" s="1"/>
      <c r="I35" s="1"/>
      <c r="J35" s="1"/>
      <c r="K35" s="1"/>
      <c r="L35" s="1"/>
      <c r="M35" s="1"/>
    </row>
    <row r="36" spans="7:13" ht="15">
      <c r="G36"/>
      <c r="H36" s="1"/>
      <c r="I36" s="1"/>
      <c r="J36" s="1"/>
      <c r="K36" s="1"/>
      <c r="L36" s="1"/>
      <c r="M36" s="1"/>
    </row>
    <row r="37" spans="7:13" ht="15">
      <c r="G37"/>
      <c r="H37" s="1"/>
      <c r="I37" s="1"/>
      <c r="J37" s="1"/>
      <c r="K37" s="1"/>
      <c r="L37" s="1"/>
      <c r="M37" s="1"/>
    </row>
    <row r="38" spans="7:13" ht="15">
      <c r="G38"/>
      <c r="H38" s="1"/>
      <c r="I38" s="1"/>
      <c r="J38" s="1"/>
      <c r="K38" s="1"/>
      <c r="L38" s="1"/>
      <c r="M38" s="1"/>
    </row>
    <row r="39" spans="7:13" ht="15">
      <c r="G39"/>
      <c r="H39" s="1"/>
      <c r="I39" s="1"/>
      <c r="J39" s="1"/>
      <c r="K39" s="1"/>
      <c r="L39" s="1"/>
      <c r="M39" s="1"/>
    </row>
    <row r="40" spans="7:13" ht="15">
      <c r="G40"/>
      <c r="H40" s="1"/>
      <c r="I40" s="1"/>
      <c r="J40" s="1"/>
      <c r="K40" s="1"/>
      <c r="L40" s="1"/>
      <c r="M40" s="1"/>
    </row>
    <row r="41" spans="7:13" ht="15">
      <c r="G41"/>
      <c r="H41" s="1"/>
      <c r="I41" s="1"/>
      <c r="J41" s="1"/>
      <c r="K41" s="1"/>
      <c r="L41" s="1"/>
      <c r="M41" s="1"/>
    </row>
    <row r="42" spans="7:13" ht="15">
      <c r="G42"/>
      <c r="H42" s="1"/>
      <c r="I42" s="1"/>
      <c r="J42" s="1"/>
      <c r="K42" s="1"/>
      <c r="L42" s="1"/>
      <c r="M42" s="1"/>
    </row>
    <row r="43" spans="7:13" ht="15">
      <c r="G43"/>
      <c r="H43" s="1"/>
      <c r="I43" s="1"/>
      <c r="J43" s="1"/>
      <c r="K43" s="1"/>
      <c r="L43" s="1"/>
      <c r="M43" s="1"/>
    </row>
    <row r="44" spans="7:13" ht="15">
      <c r="G44"/>
      <c r="H44" s="1"/>
      <c r="I44" s="1"/>
      <c r="J44" s="1"/>
      <c r="K44" s="1"/>
      <c r="L44" s="1"/>
      <c r="M44" s="1"/>
    </row>
    <row r="45" spans="7:13" ht="15">
      <c r="G45"/>
      <c r="H45" s="1"/>
      <c r="I45" s="1"/>
      <c r="J45" s="1"/>
      <c r="K45" s="1"/>
      <c r="L45" s="1"/>
      <c r="M45" s="1"/>
    </row>
    <row r="46" spans="7:13" ht="15">
      <c r="G46"/>
      <c r="H46" s="1"/>
      <c r="I46" s="1"/>
      <c r="J46" s="1"/>
      <c r="K46" s="1"/>
      <c r="L46" s="1"/>
      <c r="M46" s="1"/>
    </row>
    <row r="47" spans="7:13" ht="15">
      <c r="G47"/>
      <c r="H47" s="1"/>
      <c r="I47" s="1"/>
      <c r="J47" s="1"/>
      <c r="K47" s="1"/>
      <c r="L47" s="1"/>
      <c r="M47" s="1"/>
    </row>
    <row r="48" spans="7:13" ht="15">
      <c r="G48"/>
      <c r="H48" s="1"/>
      <c r="I48" s="1"/>
      <c r="J48" s="1"/>
      <c r="K48" s="1"/>
      <c r="L48" s="1"/>
      <c r="M48" s="1"/>
    </row>
    <row r="49" spans="7:13" ht="15">
      <c r="G49"/>
      <c r="H49" s="1"/>
      <c r="I49" s="1"/>
      <c r="J49" s="1"/>
      <c r="K49" s="1"/>
      <c r="L49" s="1"/>
      <c r="M49" s="1"/>
    </row>
    <row r="50" spans="7:13" ht="15">
      <c r="G50"/>
      <c r="H50" s="1"/>
      <c r="I50" s="1"/>
      <c r="J50" s="1"/>
      <c r="K50" s="1"/>
      <c r="L50" s="1"/>
      <c r="M50" s="1"/>
    </row>
    <row r="51" spans="7:13" ht="15">
      <c r="G51"/>
      <c r="H51" s="1"/>
      <c r="I51" s="1"/>
      <c r="J51" s="1"/>
      <c r="K51" s="1"/>
      <c r="L51" s="1"/>
      <c r="M51" s="1"/>
    </row>
    <row r="52" spans="7:13" ht="15">
      <c r="G52"/>
      <c r="H52"/>
      <c r="I52" s="1"/>
      <c r="J52" s="1"/>
      <c r="K52" s="1"/>
      <c r="L52" s="1"/>
      <c r="M52" s="1"/>
    </row>
    <row r="53" spans="7:13" ht="15">
      <c r="G53"/>
      <c r="H53"/>
      <c r="I53"/>
      <c r="J53" s="1"/>
      <c r="K53" s="1"/>
      <c r="L53" s="1"/>
      <c r="M53" s="1"/>
    </row>
    <row r="54" spans="7:13" ht="15">
      <c r="G54"/>
      <c r="H54"/>
      <c r="I54"/>
      <c r="J54" s="1"/>
      <c r="K54" s="1"/>
      <c r="L54" s="1"/>
      <c r="M54" s="1"/>
    </row>
    <row r="55" spans="7:13" ht="15">
      <c r="G55"/>
      <c r="H55"/>
      <c r="I55"/>
      <c r="J55" s="1"/>
      <c r="K55" s="1"/>
      <c r="L55" s="1"/>
      <c r="M55" s="1"/>
    </row>
    <row r="56" spans="7:13" ht="15">
      <c r="G56"/>
      <c r="H56"/>
      <c r="I56"/>
      <c r="J56" s="1"/>
      <c r="K56" s="1"/>
      <c r="L56" s="1"/>
      <c r="M56" s="1"/>
    </row>
    <row r="57" spans="7:13" ht="15">
      <c r="G57"/>
      <c r="H57"/>
      <c r="I57"/>
      <c r="J57" s="1"/>
      <c r="K57" s="1"/>
      <c r="L57" s="1"/>
      <c r="M57" s="1"/>
    </row>
    <row r="58" spans="7:13" ht="15">
      <c r="G58"/>
      <c r="H58"/>
      <c r="I58"/>
      <c r="J58" s="1"/>
      <c r="K58" s="1"/>
      <c r="L58" s="1"/>
      <c r="M58" s="1"/>
    </row>
    <row r="59" spans="7:13" ht="15">
      <c r="G59"/>
      <c r="H59"/>
      <c r="I59"/>
      <c r="J59" s="1"/>
      <c r="K59" s="1"/>
      <c r="L59" s="1"/>
      <c r="M59" s="1"/>
    </row>
    <row r="60" spans="7:13" ht="15">
      <c r="G60"/>
      <c r="H60"/>
      <c r="I60"/>
      <c r="J60" s="1"/>
      <c r="K60" s="1"/>
      <c r="L60" s="1"/>
      <c r="M60" s="1"/>
    </row>
    <row r="61" spans="7:13" ht="15">
      <c r="G61"/>
      <c r="H61"/>
      <c r="I61"/>
      <c r="J61" s="1"/>
      <c r="K61" s="1"/>
      <c r="L61" s="1"/>
      <c r="M61" s="1"/>
    </row>
    <row r="62" spans="7:13" ht="15">
      <c r="G62"/>
      <c r="H62"/>
      <c r="I62"/>
      <c r="J62" s="1"/>
      <c r="K62" s="1"/>
      <c r="L62" s="1"/>
      <c r="M62" s="1"/>
    </row>
    <row r="63" spans="7:13" ht="15">
      <c r="G63"/>
      <c r="H63"/>
      <c r="I63"/>
      <c r="J63" s="1"/>
      <c r="K63" s="1"/>
      <c r="L63" s="1"/>
      <c r="M63" s="1"/>
    </row>
    <row r="64" spans="7:13" ht="15">
      <c r="G64"/>
      <c r="H64"/>
      <c r="I64"/>
      <c r="J64" s="1"/>
      <c r="K64" s="1"/>
      <c r="L64" s="1"/>
      <c r="M64" s="1"/>
    </row>
    <row r="65" spans="7:20" ht="15">
      <c r="G65"/>
      <c r="H65"/>
      <c r="I65"/>
      <c r="J65" s="1"/>
      <c r="K65" s="1"/>
      <c r="L65" s="1"/>
      <c r="M65" s="1"/>
    </row>
    <row r="66" spans="7:20" ht="15">
      <c r="G66"/>
      <c r="H66"/>
      <c r="I66"/>
      <c r="J66" s="1"/>
      <c r="K66" s="1"/>
      <c r="L66" s="1"/>
      <c r="M66" s="1"/>
    </row>
    <row r="67" spans="7:20" ht="15">
      <c r="G67"/>
      <c r="H67"/>
      <c r="I67"/>
      <c r="J67" s="1"/>
      <c r="K67" s="1"/>
      <c r="L67" s="1"/>
      <c r="M67" s="1"/>
    </row>
    <row r="68" spans="7:20" ht="15">
      <c r="G68"/>
      <c r="H68"/>
      <c r="I68"/>
      <c r="J68" s="1"/>
      <c r="K68" s="1"/>
      <c r="L68" s="1"/>
      <c r="M68" s="1"/>
    </row>
    <row r="69" spans="7:20" ht="15">
      <c r="G69"/>
      <c r="H69"/>
      <c r="I69"/>
      <c r="J69" s="1"/>
      <c r="K69" s="1"/>
      <c r="L69" s="1"/>
      <c r="M69" s="1"/>
    </row>
    <row r="70" spans="7:20" ht="15">
      <c r="G70"/>
      <c r="H70"/>
      <c r="I70"/>
      <c r="J70" s="1"/>
      <c r="K70" s="1"/>
      <c r="L70" s="1"/>
      <c r="M70" s="1"/>
    </row>
    <row r="71" spans="7:20" ht="15">
      <c r="G71"/>
      <c r="H71"/>
      <c r="I71"/>
      <c r="J71" s="1"/>
      <c r="K71" s="1"/>
      <c r="L71" s="1"/>
      <c r="M71" s="1"/>
    </row>
    <row r="72" spans="7:20" ht="15">
      <c r="G72"/>
      <c r="H72"/>
      <c r="I72"/>
      <c r="J72" s="1"/>
      <c r="K72" s="1"/>
      <c r="L72" s="1"/>
      <c r="M72" s="1"/>
    </row>
    <row r="73" spans="7:20" ht="15">
      <c r="G73"/>
      <c r="H73"/>
      <c r="I73"/>
      <c r="J73" s="1"/>
      <c r="K73" s="1"/>
      <c r="L73" s="1"/>
      <c r="M73" s="1"/>
    </row>
    <row r="74" spans="7:20" ht="15"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7:20" ht="15"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7:20" ht="15"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7:20" ht="15"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7:20" ht="15"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7:20" ht="15"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7:20" ht="15"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7:20" ht="15"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7:20" ht="15"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7:20" ht="15"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7:20" ht="15"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7:20" ht="15"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7:20" ht="15"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7:20" ht="15"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7:20" ht="15"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7:20" ht="15"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</sheetData>
  <mergeCells count="2">
    <mergeCell ref="G3:M3"/>
    <mergeCell ref="C3:E3"/>
  </mergeCells>
  <pageMargins left="0.7" right="0.7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724B1B438D7E64E9CB0E69516459D5E" ma:contentTypeVersion="2" ma:contentTypeDescription="Создание документа." ma:contentTypeScope="" ma:versionID="a0f1adc1a5ddb304ece986bce6e12fa6">
  <xsd:schema xmlns:xsd="http://www.w3.org/2001/XMLSchema" xmlns:xs="http://www.w3.org/2001/XMLSchema" xmlns:p="http://schemas.microsoft.com/office/2006/metadata/properties" xmlns:ns2="2e80fe0f-576e-4ac4-8d1c-c1ce0ef9ef4b" targetNamespace="http://schemas.microsoft.com/office/2006/metadata/properties" ma:root="true" ma:fieldsID="adb18640d5da2057779c417331305c87" ns2:_="">
    <xsd:import namespace="2e80fe0f-576e-4ac4-8d1c-c1ce0ef9ef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0fe0f-576e-4ac4-8d1c-c1ce0ef9ef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5D3D09-E67D-4BBF-8B7F-9389261C14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9D60FC-64CC-43BA-A7A6-0FE61EA4CB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5B36A6-7535-435F-939F-8428AEBA4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0fe0f-576e-4ac4-8d1c-c1ce0ef9e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Исходные данные&gt;&gt;</vt:lpstr>
      <vt:lpstr>Исходные данные</vt:lpstr>
      <vt:lpstr>Коэффициенты&gt;&gt;</vt:lpstr>
      <vt:lpstr>Абгаз_состав</vt:lpstr>
      <vt:lpstr>ПГ_состав</vt:lpstr>
      <vt:lpstr>Расчетные модели&gt;&gt;</vt:lpstr>
      <vt:lpstr>Расчетная модель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Михаил</dc:creator>
  <cp:keywords/>
  <dc:description/>
  <cp:lastModifiedBy>Ватутина Алиса Андреевна</cp:lastModifiedBy>
  <cp:revision/>
  <dcterms:created xsi:type="dcterms:W3CDTF">2024-12-09T17:07:01Z</dcterms:created>
  <dcterms:modified xsi:type="dcterms:W3CDTF">2026-08-25T11:32:37Z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0x0101009724B1B438D7E64E9CB0E69516459D5E</vt:lpwstr>
  </property>
</Properties>
</file>